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How to use" sheetId="1" r:id="rId5"/>
    <sheet state="visible" name="Revenue register" sheetId="2" r:id="rId6"/>
    <sheet state="visible" name="Monthly bridge" sheetId="3" r:id="rId7"/>
    <sheet state="visible" name="Revenue quality" sheetId="4" r:id="rId8"/>
    <sheet state="visible" name="Definitions" sheetId="5" r:id="rId9"/>
  </sheets>
  <definedNames/>
  <calcPr/>
</workbook>
</file>

<file path=xl/sharedStrings.xml><?xml version="1.0" encoding="utf-8"?>
<sst xmlns="http://schemas.openxmlformats.org/spreadsheetml/2006/main" count="291" uniqueCount="196">
  <si>
    <t>● A FOUNDER RESOURCE FROM SURE VALLEY VENTURES</t>
  </si>
  <si>
    <t>ARR bridge and revenue quality</t>
  </si>
  <si>
    <t>For pre-seed and seed-stage founders in the UK and Ireland · Version 1 · October 2026 · Worked example: Northlight AI Ltd (fictional)</t>
  </si>
  <si>
    <t>What this is for</t>
  </si>
  <si>
    <t>One register of every contract line you have signed, and from it: the monthly ARR bridge (opening, new, expansion, contraction, churn, closing) and the revenue-quality split that tells you which number the next investor will price.</t>
  </si>
  <si>
    <t>When the next investor asks for it</t>
  </si>
  <si>
    <t>Every first meeting ("what is your ARR?") and again, line by line, in commercial and financial diligence. Investors rebuild the bridge from your contracts.</t>
  </si>
  <si>
    <t>How to fill it in</t>
  </si>
  <si>
    <t>→  Blue cells are yours to fill in; white cells calculate. Start by overwriting the example values (Northlight AI Ltd is fictional).</t>
  </si>
  <si>
    <t>● EVERY SIGNED CONTRACT LINE</t>
  </si>
  <si>
    <t>→  Revenue register tab: one row per contract line. A new customer is "Recurring"; a renewal is a new row of type "Renewal" starting the day after the old row ends, at the old value; an uplift at renewal is an "Expansion" row; a reduction is "Contraction". Pilot fees, set-up fees and services are their own types.</t>
  </si>
  <si>
    <t>→  Monthly bridge tab: set the first month. Everything calculates. The check row must read 0 in every month.</t>
  </si>
  <si>
    <t>→  Revenue quality tab: set the as-at date and list your customers once. Read the split and the flags.</t>
  </si>
  <si>
    <t>Revenue register</t>
  </si>
  <si>
    <t>The 30-minute version</t>
  </si>
  <si>
    <t>→  Enter every signed customer line with start and end dates and the annual value.</t>
  </si>
  <si>
    <t>→  Set the first month on the Monthly bridge.</t>
  </si>
  <si>
    <t>→  Read the headline ARR on the Revenue quality tab.</t>
  </si>
  <si>
    <t>The standard: what the next investor will test</t>
  </si>
  <si>
    <t>✓  ARR means billed and collected recurring revenue under a signed contract. Contracted-not-yet-billed, pilot fees, set-up fees and services are tracked, and never added to the headline.</t>
  </si>
  <si>
    <t>Annual value for recurring lines (the ARR the line adds while live); the fee amount for one-off lines. Dates are the contract line's own start and end. Renewals are new rows.</t>
  </si>
  <si>
    <t>✓  A bridge that reconciles to the contracts: opening + new + expansion − contraction − churn = closing, every month.</t>
  </si>
  <si>
    <t>✓  Growth of 10% or more a month over six months at seed; first customers renewing or expanding; pilots converting to paid at 50% or more.</t>
  </si>
  <si>
    <t>✓  No customer above 30% of ARR by Series A; 60% or more of ARR on annual contracts; services below 20% of revenue.</t>
  </si>
  <si>
    <t>✓  Nothing is revenue before a signature.</t>
  </si>
  <si>
    <t>Blue cells</t>
  </si>
  <si>
    <t>Common mistakes</t>
  </si>
  <si>
    <t>● OPENING → NEW → EXPANSION → CONTRACTION → CHURN → CLOSING</t>
  </si>
  <si>
    <t>– you fill in.</t>
  </si>
  <si>
    <t>✕  Calling a verbal yes, a letter of intent or a pilot "ARR".</t>
  </si>
  <si>
    <t>Monthly bridge</t>
  </si>
  <si>
    <t>A line is live from the month it starts to the month it ends (inclusive). Churn is counted in the month after a line ends unless a Renewal row starts then.</t>
  </si>
  <si>
    <t>White cells</t>
  </si>
  <si>
    <t>✕  Counting an annual contract paid in advance as twelve months of ARR in the month it was invoiced, then losing it twelve months later as "churn" when it was never recurring.</t>
  </si>
  <si>
    <t>– calculated; do not type over them.</t>
  </si>
  <si>
    <t>✕  Hiding churn by leaving an expired contract in the register with no end date.</t>
  </si>
  <si>
    <t>✕  Mixing set-up fees and services into the ARR line: investors find it in diligence and reprice everything.</t>
  </si>
  <si>
    <t>● EXAMPLE · FICTIONAL COMPANY — Northlight AI Ltd. Overwrite every blue cell with your own numbers.</t>
  </si>
  <si>
    <t>✕  Quoting ARR from the deck and a different ARR from the accounts.</t>
  </si>
  <si>
    <t>Tabs in this file</t>
  </si>
  <si>
    <t>•  Revenue register — every contract line; the only tab you type on, with the as-at date</t>
  </si>
  <si>
    <t>•  Monthly bridge — opening, new, expansion, contraction, churn, closing, by month</t>
  </si>
  <si>
    <t>•  Revenue quality — the headline number, the split, concentration and flags</t>
  </si>
  <si>
    <t>•  Definitions — the revenue definitions investors use</t>
  </si>
  <si>
    <t>– you fill in.   White cells with borders – calculated.   Teal rows – the fictional worked example, to overwrite.</t>
  </si>
  <si>
    <t>Not legal, tax or financial advice. Check anything with legal or tax consequences with your solicitor or accountant.</t>
  </si>
  <si>
    <t>Customer</t>
  </si>
  <si>
    <t>A Sure Valley Ventures founder resource · svv.ai · v1 · 2026</t>
  </si>
  <si>
    <t>Segment</t>
  </si>
  <si>
    <t>Type</t>
  </si>
  <si>
    <t>Annual value (recurring) or fee (one-off)</t>
  </si>
  <si>
    <t>Start</t>
  </si>
  <si>
    <t>End</t>
  </si>
  <si>
    <t>Billing</t>
  </si>
  <si>
    <t>Billed to date</t>
  </si>
  <si>
    <t>Collected to date</t>
  </si>
  <si>
    <t>Pilot converted?</t>
  </si>
  <si>
    <t>Notes</t>
  </si>
  <si>
    <t>Customer A (regional practice, 120 staff)</t>
  </si>
  <si>
    <t>● WHICH NUMBER THE NEXT INVESTOR PRICES</t>
  </si>
  <si>
    <t>Revenue quality</t>
  </si>
  <si>
    <t>Architecture practice</t>
  </si>
  <si>
    <t>Recurring</t>
  </si>
  <si>
    <t>Annual in advance</t>
  </si>
  <si>
    <t>ARR at the as-at date, split by how real the cash is. Non-recurring lines are summed over the twelve months to the as-at date.</t>
  </si>
  <si>
    <t>First month of the bridge</t>
  </si>
  <si>
    <t>As-at date</t>
  </si>
  <si>
    <t>Customer B (planning consultancy)</t>
  </si>
  <si>
    <t>Planning consultancy</t>
  </si>
  <si>
    <t>The date you are reporting at: a quarter end, or the day of the seed close in the example.</t>
  </si>
  <si>
    <t>Twelve months before the as-at date</t>
  </si>
  <si>
    <t>Customer C (city practice, 60 staff)</t>
  </si>
  <si>
    <t>Month number</t>
  </si>
  <si>
    <t>Quarterly</t>
  </si>
  <si>
    <t>Customer D (district council)</t>
  </si>
  <si>
    <t>Local planning authority</t>
  </si>
  <si>
    <t>Customer E (multi-office practice)</t>
  </si>
  <si>
    <t>Customer F (county council) — contracted, starts Jan 2027</t>
  </si>
  <si>
    <t>Month</t>
  </si>
  <si>
    <t>Contracted; starts January 2027</t>
  </si>
  <si>
    <t>Pilot — borough council (8 weeks)</t>
  </si>
  <si>
    <t>Pilot fee</t>
  </si>
  <si>
    <t>One-off</t>
  </si>
  <si>
    <t>Yes</t>
  </si>
  <si>
    <t>Converted to Customer D annual contract</t>
  </si>
  <si>
    <t>Recurring revenue at the as-at date</t>
  </si>
  <si>
    <t>Customer B — onboarding and integration fee</t>
  </si>
  <si>
    <t>Set-up fee</t>
  </si>
  <si>
    <t>Renewal</t>
  </si>
  <si>
    <t>Renewed at the same value</t>
  </si>
  <si>
    <t>Customers (list each once) and their live ARR</t>
  </si>
  <si>
    <t>Category</t>
  </si>
  <si>
    <t>ARR</t>
  </si>
  <si>
    <t>Share</t>
  </si>
  <si>
    <t>Live ARR</t>
  </si>
  <si>
    <t>Billed and collected recurring revenue (the headline ARR)</t>
  </si>
  <si>
    <t>Expansion</t>
  </si>
  <si>
    <t>Second office added</t>
  </si>
  <si>
    <t>Enforcement module</t>
  </si>
  <si>
    <t>More seats; invoiced, not yet paid</t>
  </si>
  <si>
    <t>Customer G (unitary authority)</t>
  </si>
  <si>
    <t>Customer H (city practice)</t>
  </si>
  <si>
    <t>Month end</t>
  </si>
  <si>
    <t>Customer I (housing developer)</t>
  </si>
  <si>
    <t>Developer</t>
  </si>
  <si>
    <t>Customer J (practice, 80 staff)</t>
  </si>
  <si>
    <t>Customer K (county council)</t>
  </si>
  <si>
    <t>Customer L (national practice)</t>
  </si>
  <si>
    <t>Customer M (planning consultancy)</t>
  </si>
  <si>
    <t>Monthly</t>
  </si>
  <si>
    <t>● THE REVENUE DEFINITIONS INVESTORS USE</t>
  </si>
  <si>
    <t>Customer N (borough council)</t>
  </si>
  <si>
    <t>Pilot converted</t>
  </si>
  <si>
    <t>Customer O (metropolitan practice)</t>
  </si>
  <si>
    <t>Pilot — Customer N (borough council), 8 weeks</t>
  </si>
  <si>
    <t>Previous month end</t>
  </si>
  <si>
    <t>Converted to the annual contract above</t>
  </si>
  <si>
    <t>Pilot — regional practice (6 weeks)</t>
  </si>
  <si>
    <t>No</t>
  </si>
  <si>
    <t>Did not convert: no budget owner</t>
  </si>
  <si>
    <t>Opening ARR</t>
  </si>
  <si>
    <t>Billed, not yet collected</t>
  </si>
  <si>
    <t>Rules. A renewal is a new row (type Renewal) starting the day after the old row ends, at the old value; put any uplift in an Expansion row and any reduction in a Contraction row. A customer that does not renew simply has no new row: the bridge counts the churn the month after the end date. Billed and collected are cumulative to date for that line.</t>
  </si>
  <si>
    <t>Contracted, not yet billed (including lines that start later)</t>
  </si>
  <si>
    <t>+ New customers</t>
  </si>
  <si>
    <t>Total contracted recurring revenue</t>
  </si>
  <si>
    <t>Definitions</t>
  </si>
  <si>
    <t>Definition</t>
  </si>
  <si>
    <t>Counts towards the headline?</t>
  </si>
  <si>
    <t>Billed and collected recurring revenue</t>
  </si>
  <si>
    <t>Recurring subscription or usage revenue invoiced and paid under a signed contract, stated as an annual run-rate.</t>
  </si>
  <si>
    <t>Live ARR at the as-at date (started, not ended)</t>
  </si>
  <si>
    <t>Yes: the headline ARR, the number the next round prices</t>
  </si>
  <si>
    <t>A recurring line invoiced but unpaid at the as-at date.</t>
  </si>
  <si>
    <t>Shown separately until the cash arrives</t>
  </si>
  <si>
    <t>Contracted, not yet billed</t>
  </si>
  <si>
    <t>Signed, with a start date in the future or the first invoice not yet raised.</t>
  </si>
  <si>
    <t>Tracked separately; shown as a bridge item</t>
  </si>
  <si>
    <t>Pilot and trial fees</t>
  </si>
  <si>
    <t>Fees for time-boxed pilots and trials.</t>
  </si>
  <si>
    <t>No; reported as pilot revenue with the conversion pipeline</t>
  </si>
  <si>
    <t>Set-up and one-off</t>
  </si>
  <si>
    <t>Implementation, onboarding and integration fees.</t>
  </si>
  <si>
    <t>Services</t>
  </si>
  <si>
    <t>Consulting and custom work.</t>
  </si>
  <si>
    <t>No; flag if above 20% of revenue</t>
  </si>
  <si>
    <t>Expansion and contraction</t>
  </si>
  <si>
    <t>Changes to a live line's annual value: more seats, a new module, a reduction.</t>
  </si>
  <si>
    <t>Yes, from the month they start</t>
  </si>
  <si>
    <t>Churn</t>
  </si>
  <si>
    <t>A recurring line that ends without a renewal row. Counted the month after the end date.</t>
  </si>
  <si>
    <t>Reduces the headline</t>
  </si>
  <si>
    <t>Gross revenue retention</t>
  </si>
  <si>
    <t>Opening ARR less churn and contraction over twelve months, divided by opening ARR. Investors look for 90% or more by Series A.</t>
  </si>
  <si>
    <t>—</t>
  </si>
  <si>
    <t>Net revenue retention</t>
  </si>
  <si>
    <t>Opening ARR plus expansion less contraction and churn, divided by opening ARR. 100% or more by Series A.</t>
  </si>
  <si>
    <t>Nothing is revenue before a signature</t>
  </si>
  <si>
    <t>A verbal yes, a letter of intent or a proposal under review is pipeline, not revenue.</t>
  </si>
  <si>
    <t>Non-recurring revenue in the twelve months to the as-at date</t>
  </si>
  <si>
    <t>Amount</t>
  </si>
  <si>
    <t>Share of all revenue</t>
  </si>
  <si>
    <t>+ Expansion</t>
  </si>
  <si>
    <t>Other one-off</t>
  </si>
  <si>
    <t>Total non-recurring</t>
  </si>
  <si>
    <t>All revenue, twelve months (live ARR + non-recurring)</t>
  </si>
  <si>
    <t>Pilots</t>
  </si>
  <si>
    <t>− Contraction</t>
  </si>
  <si>
    <t>Pilots in the twelve months</t>
  </si>
  <si>
    <t>of which converted to a paid contract</t>
  </si>
  <si>
    <t>Pilot-to-paid conversion</t>
  </si>
  <si>
    <t>Largest customer, share of live ARR</t>
  </si>
  <si>
    <t>Top three customers, share of live ARR</t>
  </si>
  <si>
    <t>− Churn (lines ended last month, less renewals starting this month)</t>
  </si>
  <si>
    <t>Share of live ARR on annual contracts</t>
  </si>
  <si>
    <t>Check: customers listed cover the live ARR</t>
  </si>
  <si>
    <t>Flags: what the next investor will see</t>
  </si>
  <si>
    <t>Headline ARR versus the ARR in your deck</t>
  </si>
  <si>
    <t>Customer concentration</t>
  </si>
  <si>
    <t>Services share</t>
  </si>
  <si>
    <t>Annual contracts</t>
  </si>
  <si>
    <t>Pilot conversion</t>
  </si>
  <si>
    <t>Closing ARR</t>
  </si>
  <si>
    <t>Live ARR from the register (independent check)</t>
  </si>
  <si>
    <t>Check (closing minus live; must be 0)</t>
  </si>
  <si>
    <t>Growth in the month</t>
  </si>
  <si>
    <t>Customers with a live recurring line (lines, not logos)</t>
  </si>
  <si>
    <t>Non-recurring cash lines starting this month (pilot, set-up, services, other)</t>
  </si>
  <si>
    <t>Twelve-month view (from the first month)</t>
  </si>
  <si>
    <t>Opening ARR, month 1</t>
  </si>
  <si>
    <t>Closing ARR, month 12</t>
  </si>
  <si>
    <t>Growth over twelve months</t>
  </si>
  <si>
    <t>Average monthly growth over twelve months</t>
  </si>
  <si>
    <t>Churned ARR over twelve months</t>
  </si>
  <si>
    <t>Gross revenue retention, twelve months (1 − churn − contraction ÷ opening)</t>
  </si>
  <si>
    <t>Net revenue retention, twelve months ((opening + expansion − contraction − churn) ÷ opening)</t>
  </si>
</sst>
</file>

<file path=xl/styles.xml><?xml version="1.0" encoding="utf-8"?>
<styleSheet xmlns="http://schemas.openxmlformats.org/spreadsheetml/2006/main" xmlns:x14ac="http://schemas.microsoft.com/office/spreadsheetml/2009/9/ac" xmlns:mc="http://schemas.openxmlformats.org/markup-compatibility/2006">
  <numFmts count="4">
    <numFmt numFmtId="164" formatCode="\£#,##0;&quot;(£&quot;#,##0\);\–"/>
    <numFmt numFmtId="165" formatCode="dd/mm/yyyy"/>
    <numFmt numFmtId="166" formatCode="mmm\ yyyy"/>
    <numFmt numFmtId="167" formatCode="0.0%;\(0.0%\);\–"/>
  </numFmts>
  <fonts count="18">
    <font>
      <sz val="11.0"/>
      <color theme="1"/>
      <name val="Calibri"/>
      <scheme val="minor"/>
    </font>
    <font>
      <b/>
      <sz val="8.0"/>
      <color rgb="FF0573AD"/>
      <name val="Inter"/>
    </font>
    <font>
      <b/>
      <sz val="22.0"/>
      <color rgb="FF0A1218"/>
      <name val="Inter"/>
    </font>
    <font>
      <sz val="9.0"/>
      <color rgb="FF646F79"/>
      <name val="Inter"/>
    </font>
    <font>
      <b/>
      <sz val="10.0"/>
      <color rgb="FF0A1218"/>
      <name val="Inter"/>
    </font>
    <font>
      <sz val="10.0"/>
      <color rgb="FF3D4A55"/>
      <name val="Inter"/>
    </font>
    <font>
      <b/>
      <sz val="18.0"/>
      <color rgb="FF0A1218"/>
      <name val="Inter"/>
    </font>
    <font>
      <b/>
      <sz val="9.0"/>
      <color rgb="FF0A1218"/>
      <name val="Inter"/>
    </font>
    <font>
      <sz val="11.0"/>
      <color theme="1"/>
      <name val="Calibri"/>
    </font>
    <font>
      <b/>
      <sz val="8.0"/>
      <color rgb="FF0573AD"/>
      <name val="Inter"/>
    </font>
    <font>
      <i/>
      <sz val="8.0"/>
      <color rgb="FF646F79"/>
      <name val="Inter"/>
    </font>
    <font>
      <b/>
      <sz val="9.0"/>
      <color rgb="FFFFFFFF"/>
      <name val="Inter"/>
    </font>
    <font>
      <sz val="7.0"/>
      <color rgb="FF646F79"/>
      <name val="Inter"/>
    </font>
    <font>
      <sz val="10.0"/>
      <color rgb="FF0A1218"/>
      <name val="Inter"/>
    </font>
    <font/>
    <font>
      <b/>
      <sz val="8.0"/>
      <name val="Inter"/>
      <color rgb="FF14B1E7"/>
    </font>
    <font>
      <b/>
      <sz val="22.0"/>
      <name val="Inter"/>
      <color rgb="FFFFFFFF"/>
    </font>
    <font>
      <sz val="9.0"/>
      <name val="Inter"/>
      <color rgb="FFC9D4DA"/>
    </font>
  </fonts>
  <fills count="8">
    <fill>
      <patternFill patternType="none"/>
    </fill>
    <fill>
      <patternFill patternType="lightGray"/>
    </fill>
    <fill>
      <patternFill patternType="solid">
        <fgColor rgb="FFE2F5FC"/>
        <bgColor rgb="FFE2F5FC"/>
      </patternFill>
    </fill>
    <fill>
      <patternFill patternType="solid">
        <fgColor rgb="FFFBEBEB"/>
        <bgColor rgb="FFFBEBEB"/>
      </patternFill>
    </fill>
    <fill>
      <patternFill patternType="solid">
        <fgColor rgb="FFEEF2F4"/>
        <bgColor rgb="FFEEF2F4"/>
      </patternFill>
    </fill>
    <fill>
      <patternFill patternType="solid">
        <fgColor rgb="FF0A1218"/>
        <bgColor rgb="FF0A1218"/>
      </patternFill>
    </fill>
    <fill>
      <patternFill patternType="solid">
        <fgColor rgb="FFF3F5F6"/>
        <bgColor rgb="FFF3F5F6"/>
      </patternFill>
    </fill>
    <fill>
      <patternFill patternType="solid">
        <fgColor rgb="FF0A1218"/>
        <bgColor indexed="64"/>
      </patternFill>
    </fill>
  </fills>
  <borders count="9">
    <border/>
    <border>
      <left/>
      <right/>
      <top/>
      <bottom/>
    </border>
    <border>
      <left style="thin">
        <color rgb="FFDDE3E7"/>
      </left>
      <right style="thin">
        <color rgb="FFDDE3E7"/>
      </right>
      <top style="thin">
        <color rgb="FFDDE3E7"/>
      </top>
      <bottom style="dotted">
        <color rgb="FFC3CBD1"/>
      </bottom>
    </border>
    <border>
      <left style="thin">
        <color rgb="FFDDE3E7"/>
      </left>
      <right style="thin">
        <color rgb="FFDDE3E7"/>
      </right>
      <top style="thin">
        <color rgb="FFDDE3E7"/>
      </top>
      <bottom style="thin">
        <color rgb="FFDDE3E7"/>
      </bottom>
    </border>
    <border>
      <left style="thin">
        <color rgb="FF0A1218"/>
      </left>
      <right style="thin">
        <color rgb="FF0A1218"/>
      </right>
      <top/>
      <bottom/>
    </border>
    <border>
      <left/>
      <right/>
      <top style="thin">
        <color rgb="FFDDE3E7"/>
      </top>
      <bottom style="thin">
        <color rgb="FFDDE3E7"/>
      </bottom>
    </border>
    <border>
      <left style="thin">
        <color rgb="FFDDE3E7"/>
      </left>
      <top style="thin">
        <color rgb="FFDDE3E7"/>
      </top>
      <bottom style="thin">
        <color rgb="FFDDE3E7"/>
      </bottom>
    </border>
    <border>
      <top style="thin">
        <color rgb="FFDDE3E7"/>
      </top>
      <bottom style="thin">
        <color rgb="FFDDE3E7"/>
      </bottom>
    </border>
    <border>
      <right style="thin">
        <color rgb="FFDDE3E7"/>
      </right>
      <top style="thin">
        <color rgb="FFDDE3E7"/>
      </top>
      <bottom style="thin">
        <color rgb="FFDDE3E7"/>
      </bottom>
    </border>
  </borders>
  <cellStyleXfs count="1">
    <xf borderId="0" fillId="0" fontId="0" numFmtId="0" applyAlignment="1" applyFont="1"/>
  </cellStyleXfs>
  <cellXfs count="51">
    <xf borderId="0" fillId="0" fontId="0" numFmtId="0" xfId="0" applyAlignment="1" applyFont="1">
      <alignment readingOrder="0" shrinkToFit="0" vertical="bottom" wrapText="0"/>
    </xf>
    <xf borderId="0" fillId="0" fontId="1" numFmtId="0" xfId="0" applyAlignment="1" applyFont="1">
      <alignment shrinkToFit="0" vertical="bottom" wrapText="0"/>
    </xf>
    <xf borderId="0" fillId="0" fontId="2" numFmtId="0" xfId="0" applyAlignment="1" applyFont="1">
      <alignment shrinkToFit="0" vertical="bottom" wrapText="0"/>
    </xf>
    <xf borderId="0" fillId="0" fontId="3" numFmtId="0" xfId="0" applyAlignment="1" applyFont="1">
      <alignment shrinkToFit="0" vertical="bottom" wrapText="0"/>
    </xf>
    <xf borderId="0" fillId="0" fontId="4" numFmtId="0" xfId="0" applyAlignment="1" applyFont="1">
      <alignment horizontal="left" shrinkToFit="0" vertical="top" wrapText="1"/>
    </xf>
    <xf borderId="0" fillId="0" fontId="5" numFmtId="0" xfId="0" applyAlignment="1" applyFont="1">
      <alignment horizontal="left" shrinkToFit="0" vertical="top" wrapText="1"/>
    </xf>
    <xf borderId="0" fillId="0" fontId="6" numFmtId="0" xfId="0" applyAlignment="1" applyFont="1">
      <alignment shrinkToFit="0" vertical="bottom" wrapText="0"/>
    </xf>
    <xf borderId="0" fillId="0" fontId="3" numFmtId="0" xfId="0" applyAlignment="1" applyFont="1">
      <alignment horizontal="left" shrinkToFit="0" vertical="top" wrapText="1"/>
    </xf>
    <xf borderId="1" fillId="3" fontId="4" numFmtId="0" xfId="0" applyAlignment="1" applyBorder="1" applyFill="1" applyFont="1">
      <alignment horizontal="left" shrinkToFit="0" vertical="top" wrapText="1"/>
    </xf>
    <xf borderId="2" fillId="2" fontId="7" numFmtId="0" xfId="0" applyAlignment="1" applyBorder="1" applyFill="1" applyFont="1">
      <alignment horizontal="center" shrinkToFit="0" vertical="center" wrapText="1"/>
    </xf>
    <xf borderId="0" fillId="0" fontId="3" numFmtId="0" xfId="0" applyAlignment="1" applyFont="1">
      <alignment horizontal="left" shrinkToFit="0" vertical="center" wrapText="0"/>
    </xf>
    <xf borderId="1" fillId="3" fontId="5" numFmtId="0" xfId="0" applyAlignment="1" applyBorder="1" applyFill="1" applyFont="1">
      <alignment horizontal="left" shrinkToFit="0" vertical="top" wrapText="1"/>
    </xf>
    <xf borderId="3" fillId="0" fontId="7" numFmtId="0" xfId="0" applyAlignment="1" applyBorder="1" applyFont="1">
      <alignment horizontal="center" shrinkToFit="0" vertical="center" wrapText="1"/>
    </xf>
    <xf borderId="1" fillId="3" fontId="8" numFmtId="0" xfId="0" applyAlignment="1" applyBorder="1" applyFill="1" applyFont="1">
      <alignment shrinkToFit="0" vertical="bottom" wrapText="0"/>
    </xf>
    <xf borderId="1" fillId="4" fontId="9" numFmtId="0" xfId="0" applyAlignment="1" applyBorder="1" applyFill="1" applyFont="1">
      <alignment horizontal="left" shrinkToFit="0" vertical="center" wrapText="0"/>
    </xf>
    <xf borderId="1" fillId="4" fontId="8" numFmtId="0" xfId="0" applyAlignment="1" applyBorder="1" applyFill="1" applyFont="1">
      <alignment shrinkToFit="0" vertical="bottom" wrapText="0"/>
    </xf>
    <xf borderId="0" fillId="0" fontId="10" numFmtId="0" xfId="0" applyAlignment="1" applyFont="1">
      <alignment shrinkToFit="0" vertical="bottom" wrapText="0"/>
    </xf>
    <xf borderId="4" fillId="5" fontId="11" numFmtId="0" xfId="0" applyAlignment="1" applyBorder="1" applyFill="1" applyFont="1">
      <alignment horizontal="left" shrinkToFit="0" vertical="center" wrapText="1"/>
    </xf>
    <xf borderId="0" fillId="0" fontId="12" numFmtId="0" xfId="0" applyAlignment="1" applyFont="1">
      <alignment shrinkToFit="0" vertical="bottom" wrapText="0"/>
    </xf>
    <xf borderId="2" fillId="2" fontId="13" numFmtId="0" xfId="0" applyAlignment="1" applyBorder="1" applyFill="1" applyFont="1">
      <alignment horizontal="left" shrinkToFit="0" vertical="center" wrapText="1"/>
    </xf>
    <xf borderId="2" fillId="2" fontId="13" numFmtId="164" xfId="0" applyAlignment="1" applyBorder="1" applyFill="1" applyFont="1" applyNumberFormat="1">
      <alignment horizontal="right" shrinkToFit="0" vertical="center" wrapText="0"/>
    </xf>
    <xf borderId="2" fillId="2" fontId="13" numFmtId="165" xfId="0" applyAlignment="1" applyBorder="1" applyFill="1" applyFont="1" applyNumberFormat="1">
      <alignment horizontal="left" shrinkToFit="0" vertical="center" wrapText="1"/>
    </xf>
    <xf borderId="0" fillId="0" fontId="13" numFmtId="0" xfId="0" applyAlignment="1" applyFont="1">
      <alignment horizontal="left" shrinkToFit="0" vertical="center" wrapText="1"/>
    </xf>
    <xf borderId="2" fillId="2" fontId="13" numFmtId="0" xfId="0" applyAlignment="1" applyBorder="1" applyFill="1" applyFont="1">
      <alignment horizontal="center" shrinkToFit="0" vertical="center" wrapText="1"/>
    </xf>
    <xf borderId="0" fillId="0" fontId="10" numFmtId="0" xfId="0" applyAlignment="1" applyFont="1">
      <alignment horizontal="left" shrinkToFit="0" vertical="top" wrapText="1"/>
    </xf>
    <xf borderId="0" fillId="0" fontId="3" numFmtId="0" xfId="0" applyAlignment="1" applyFont="1">
      <alignment horizontal="left" shrinkToFit="0" vertical="center" wrapText="1"/>
    </xf>
    <xf borderId="0" fillId="0" fontId="3" numFmtId="0" xfId="0" applyAlignment="1" applyFont="1">
      <alignment horizontal="right" shrinkToFit="0" vertical="center" wrapText="0"/>
    </xf>
    <xf borderId="1" fillId="5" fontId="11" numFmtId="0" xfId="0" applyAlignment="1" applyBorder="1" applyFill="1" applyFont="1">
      <alignment shrinkToFit="0" vertical="bottom" wrapText="0"/>
    </xf>
    <xf borderId="3" fillId="0" fontId="13" numFmtId="165" xfId="0" applyAlignment="1" applyBorder="1" applyFont="1" applyNumberFormat="1">
      <alignment horizontal="right" shrinkToFit="0" vertical="center" wrapText="0"/>
    </xf>
    <xf borderId="5" fillId="6" fontId="4" numFmtId="0" xfId="0" applyAlignment="1" applyBorder="1" applyFill="1" applyFont="1">
      <alignment horizontal="left" shrinkToFit="0" vertical="center" wrapText="0"/>
    </xf>
    <xf borderId="5" fillId="6" fontId="8" numFmtId="0" xfId="0" applyAlignment="1" applyBorder="1" applyFill="1" applyFont="1">
      <alignment shrinkToFit="0" vertical="bottom" wrapText="0"/>
    </xf>
    <xf borderId="1" fillId="5" fontId="11" numFmtId="166" xfId="0" applyAlignment="1" applyBorder="1" applyFill="1" applyFont="1" applyNumberFormat="1">
      <alignment horizontal="right" shrinkToFit="0" vertical="center" wrapText="0"/>
    </xf>
    <xf borderId="0" fillId="0" fontId="4" numFmtId="0" xfId="0" applyAlignment="1" applyFont="1">
      <alignment horizontal="left" shrinkToFit="0" vertical="center" wrapText="1"/>
    </xf>
    <xf borderId="0" fillId="0" fontId="3" numFmtId="165" xfId="0" applyAlignment="1" applyFont="1" applyNumberFormat="1">
      <alignment horizontal="right" shrinkToFit="0" vertical="center" wrapText="0"/>
    </xf>
    <xf borderId="3" fillId="0" fontId="4" numFmtId="164" xfId="0" applyAlignment="1" applyBorder="1" applyFont="1" applyNumberFormat="1">
      <alignment horizontal="right" shrinkToFit="0" vertical="center" wrapText="0"/>
    </xf>
    <xf borderId="3" fillId="0" fontId="13" numFmtId="167" xfId="0" applyAlignment="1" applyBorder="1" applyFont="1" applyNumberFormat="1">
      <alignment horizontal="right" shrinkToFit="0" vertical="center" wrapText="0"/>
    </xf>
    <xf borderId="3" fillId="0" fontId="13" numFmtId="164" xfId="0" applyAlignment="1" applyBorder="1" applyFont="1" applyNumberFormat="1">
      <alignment horizontal="right" shrinkToFit="0" vertical="center" wrapText="0"/>
    </xf>
    <xf borderId="3" fillId="0" fontId="4" numFmtId="0" xfId="0" applyAlignment="1" applyBorder="1" applyFont="1">
      <alignment horizontal="left" shrinkToFit="0" vertical="top" wrapText="1"/>
    </xf>
    <xf borderId="3" fillId="0" fontId="13" numFmtId="0" xfId="0" applyAlignment="1" applyBorder="1" applyFont="1">
      <alignment horizontal="left" shrinkToFit="0" vertical="top" wrapText="1"/>
    </xf>
    <xf borderId="3" fillId="0" fontId="5" numFmtId="0" xfId="0" applyAlignment="1" applyBorder="1" applyFont="1">
      <alignment horizontal="left" shrinkToFit="0" vertical="top" wrapText="1"/>
    </xf>
    <xf borderId="3" fillId="0" fontId="13" numFmtId="1" xfId="0" applyAlignment="1" applyBorder="1" applyFont="1" applyNumberFormat="1">
      <alignment horizontal="right" shrinkToFit="0" vertical="center" wrapText="0"/>
    </xf>
    <xf borderId="3" fillId="0" fontId="4" numFmtId="167" xfId="0" applyAlignment="1" applyBorder="1" applyFont="1" applyNumberFormat="1">
      <alignment horizontal="right" shrinkToFit="0" vertical="center" wrapText="0"/>
    </xf>
    <xf borderId="3" fillId="0" fontId="13" numFmtId="0" xfId="0" applyAlignment="1" applyBorder="1" applyFont="1">
      <alignment horizontal="left" shrinkToFit="0" vertical="center" wrapText="1"/>
    </xf>
    <xf borderId="6" fillId="0" fontId="13" numFmtId="0" xfId="0" applyAlignment="1" applyBorder="1" applyFont="1">
      <alignment horizontal="left" shrinkToFit="0" vertical="top" wrapText="1"/>
    </xf>
    <xf borderId="7" fillId="0" fontId="14" numFmtId="0" xfId="0" applyBorder="1" applyFont="1"/>
    <xf borderId="8" fillId="0" fontId="14" numFmtId="0" xfId="0" applyBorder="1" applyFont="1"/>
    <xf borderId="3" fillId="0" fontId="3" numFmtId="164" xfId="0" applyAlignment="1" applyBorder="1" applyFont="1" applyNumberFormat="1">
      <alignment horizontal="right" shrinkToFit="0" vertical="center" wrapText="0"/>
    </xf>
    <xf borderId="0" fillId="7" fontId="0" numFmtId="0" xfId="0" applyAlignment="1" applyFont="1" applyFill="1">
      <alignment readingOrder="0" shrinkToFit="0" vertical="bottom" wrapText="0"/>
    </xf>
    <xf borderId="0" fillId="7" fontId="15" numFmtId="0" xfId="0" applyAlignment="1" applyFont="1" applyFill="1">
      <alignment shrinkToFit="0" vertical="bottom" wrapText="0"/>
    </xf>
    <xf borderId="0" fillId="7" fontId="16" numFmtId="0" xfId="0" applyAlignment="1" applyFont="1" applyFill="1">
      <alignment shrinkToFit="0" vertical="bottom" wrapText="0"/>
    </xf>
    <xf borderId="0" fillId="7" fontId="17" numFmtId="0" xfId="0" applyAlignment="1" applyFont="1" applyFill="1">
      <alignment shrinkToFit="0" vertical="bottom" wrapText="0"/>
    </xf>
  </cellXfs>
  <cellStyles count="1">
    <cellStyle xfId="0" name="Normal" builtinId="0"/>
  </cellStyles>
  <dxfs count="1">
    <dxf>
      <font>
        <b/>
        <color rgb="FFEB3B47"/>
        <name val="Inter"/>
      </font>
      <fill>
        <patternFill patternType="solid">
          <fgColor rgb="FFFBEBEB"/>
          <bgColor rgb="FFFBEBEB"/>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cols>
    <col customWidth="1" min="1" max="1" width="3.0"/>
    <col customWidth="1" min="2" max="2" width="24.0"/>
    <col customWidth="1" min="3" max="3" width="100.0"/>
    <col customWidth="1" min="4" max="4" width="3.0"/>
    <col customWidth="1" min="5" max="26" width="8.71"/>
  </cols>
  <sheetData>
    <row r="1" ht="14" customHeight="1">
      <c r="A1" s="47"/>
      <c r="B1" s="47"/>
      <c r="C1" s="47"/>
      <c r="D1" s="47"/>
    </row>
    <row r="2">
      <c r="A2" s="47"/>
      <c r="B2" s="48" t="s">
        <v>0</v>
      </c>
      <c r="C2" s="47"/>
      <c r="D2" s="47"/>
    </row>
    <row r="3" ht="33.75" customHeight="1">
      <c r="A3" s="47"/>
      <c r="B3" s="49" t="s">
        <v>1</v>
      </c>
      <c r="C3" s="47"/>
      <c r="D3" s="47"/>
    </row>
    <row r="4">
      <c r="A4" s="47"/>
      <c r="B4" s="50" t="s">
        <v>2</v>
      </c>
      <c r="C4" s="47"/>
      <c r="D4" s="47"/>
    </row>
    <row r="5" ht="14" customHeight="1">
      <c r="A5" s="47"/>
      <c r="B5" s="47"/>
      <c r="C5" s="47"/>
      <c r="D5" s="47"/>
    </row>
    <row r="6" ht="45.0" customHeight="1">
      <c r="B6" s="4" t="s">
        <v>3</v>
      </c>
      <c r="C6" s="5" t="s">
        <v>4</v>
      </c>
    </row>
    <row r="8" ht="30.0" customHeight="1">
      <c r="B8" s="4" t="s">
        <v>5</v>
      </c>
      <c r="C8" s="5" t="s">
        <v>6</v>
      </c>
    </row>
    <row r="10" ht="30.0" customHeight="1">
      <c r="B10" s="4" t="s">
        <v>7</v>
      </c>
      <c r="C10" s="5" t="s">
        <v>8</v>
      </c>
    </row>
    <row r="11" ht="60.0" customHeight="1">
      <c r="C11" s="5" t="s">
        <v>10</v>
      </c>
    </row>
    <row r="12" ht="30.0" customHeight="1">
      <c r="C12" s="5" t="s">
        <v>11</v>
      </c>
    </row>
    <row r="13" ht="30.0" customHeight="1">
      <c r="C13" s="5" t="s">
        <v>12</v>
      </c>
    </row>
    <row r="15" ht="15.75" customHeight="1">
      <c r="B15" s="4" t="s">
        <v>14</v>
      </c>
      <c r="C15" s="5" t="s">
        <v>15</v>
      </c>
    </row>
    <row r="16" ht="15.75" customHeight="1">
      <c r="C16" s="5" t="s">
        <v>16</v>
      </c>
    </row>
    <row r="17" ht="15.75" customHeight="1">
      <c r="C17" s="5" t="s">
        <v>17</v>
      </c>
    </row>
    <row r="19" ht="30.0" customHeight="1">
      <c r="B19" s="4" t="s">
        <v>18</v>
      </c>
      <c r="C19" s="5" t="s">
        <v>19</v>
      </c>
    </row>
    <row r="20" ht="30.0" customHeight="1">
      <c r="C20" s="5" t="s">
        <v>21</v>
      </c>
    </row>
    <row r="21" ht="30.0" customHeight="1">
      <c r="C21" s="5" t="s">
        <v>22</v>
      </c>
    </row>
    <row r="22" ht="30.0" customHeight="1">
      <c r="C22" s="5" t="s">
        <v>23</v>
      </c>
    </row>
    <row r="23" ht="15.75" customHeight="1">
      <c r="C23" s="5" t="s">
        <v>24</v>
      </c>
    </row>
    <row r="24" ht="15.75" customHeight="1"/>
    <row r="25" ht="15.75" customHeight="1">
      <c r="B25" s="8" t="s">
        <v>26</v>
      </c>
      <c r="C25" s="11" t="s">
        <v>29</v>
      </c>
    </row>
    <row r="26" ht="30.0" customHeight="1">
      <c r="B26" s="13"/>
      <c r="C26" s="11" t="s">
        <v>33</v>
      </c>
    </row>
    <row r="27" ht="15.75" customHeight="1">
      <c r="B27" s="13"/>
      <c r="C27" s="11" t="s">
        <v>35</v>
      </c>
    </row>
    <row r="28" ht="30.0" customHeight="1">
      <c r="B28" s="13"/>
      <c r="C28" s="11" t="s">
        <v>36</v>
      </c>
    </row>
    <row r="29" ht="15.75" customHeight="1">
      <c r="B29" s="13"/>
      <c r="C29" s="11" t="s">
        <v>38</v>
      </c>
    </row>
    <row r="30" ht="15.75" customHeight="1"/>
    <row r="31" ht="15.75" customHeight="1">
      <c r="B31" s="4" t="s">
        <v>39</v>
      </c>
      <c r="C31" s="5" t="s">
        <v>40</v>
      </c>
    </row>
    <row r="32" ht="15.75" customHeight="1">
      <c r="C32" s="5" t="s">
        <v>41</v>
      </c>
    </row>
    <row r="33" ht="15.75" customHeight="1">
      <c r="C33" s="5" t="s">
        <v>42</v>
      </c>
    </row>
    <row r="34" ht="15.75" customHeight="1">
      <c r="C34" s="5" t="s">
        <v>43</v>
      </c>
    </row>
    <row r="35" ht="15.75" customHeight="1"/>
    <row r="36" ht="15.75" customHeight="1">
      <c r="B36" s="9" t="s">
        <v>25</v>
      </c>
      <c r="C36" s="3" t="s">
        <v>44</v>
      </c>
    </row>
    <row r="37" ht="15.75" customHeight="1"/>
    <row r="38" ht="15.75" customHeight="1">
      <c r="B38" s="16" t="s">
        <v>45</v>
      </c>
    </row>
    <row r="39" ht="15.75" customHeight="1">
      <c r="B39" s="18" t="s">
        <v>47</v>
      </c>
    </row>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 footer="0.0" header="0.0" left="0.6" right="0.6" top="0.7"/>
  <pageSetup fitToHeight="0" paperSize="9" orientation="portrait"/>
  <headerFooter>
    <oddFooter>&amp;L A Sure Valley Ventures founder resource · svv.ai · v1 · 2026&amp;R Page &amp;P of </oddFooter>
  </headerFooter>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pane xSplit="2.0" ySplit="9.0" topLeftCell="C10" activePane="bottomRight" state="frozen"/>
      <selection activeCell="C1" sqref="C1" pane="topRight"/>
      <selection activeCell="A10" sqref="A10" pane="bottomLeft"/>
      <selection activeCell="C10" sqref="C10" pane="bottomRight"/>
    </sheetView>
  </sheetViews>
  <sheetFormatPr customHeight="1" defaultColWidth="14.43" defaultRowHeight="15.0"/>
  <cols>
    <col customWidth="1" min="1" max="1" width="2.0"/>
    <col customWidth="1" min="2" max="2" width="34.0"/>
    <col customWidth="1" min="3" max="3" width="20.0"/>
    <col customWidth="1" min="4" max="4" width="18.0"/>
    <col customWidth="1" min="5" max="5" width="15.0"/>
    <col customWidth="1" min="6" max="7" width="13.0"/>
    <col customWidth="1" min="8" max="8" width="18.0"/>
    <col customWidth="1" min="9" max="10" width="14.0"/>
    <col customWidth="1" min="11" max="11" width="12.0"/>
    <col customWidth="1" min="12" max="12" width="34.0"/>
    <col customWidth="1" min="13" max="26" width="8.71"/>
  </cols>
  <sheetData>
    <row r="1" ht="13.5" customHeight="1">
      <c r="A1" s="1" t="s">
        <v>9</v>
      </c>
    </row>
    <row r="2" ht="27.75" customHeight="1">
      <c r="A2" s="6" t="s">
        <v>13</v>
      </c>
    </row>
    <row r="3" ht="31.5" customHeight="1">
      <c r="A3" s="7" t="s">
        <v>20</v>
      </c>
    </row>
    <row r="5" ht="18.0" customHeight="1">
      <c r="B5" s="9" t="s">
        <v>25</v>
      </c>
      <c r="C5" s="10" t="s">
        <v>28</v>
      </c>
      <c r="D5" s="12" t="s">
        <v>32</v>
      </c>
      <c r="E5" s="10" t="s">
        <v>34</v>
      </c>
    </row>
    <row r="7" ht="18.0" customHeight="1">
      <c r="B7" s="14" t="s">
        <v>37</v>
      </c>
      <c r="C7" s="15"/>
      <c r="D7" s="15"/>
      <c r="E7" s="15"/>
      <c r="F7" s="15"/>
      <c r="G7" s="15"/>
      <c r="H7" s="15"/>
      <c r="I7" s="15"/>
      <c r="J7" s="15"/>
      <c r="K7" s="15"/>
      <c r="L7" s="15"/>
    </row>
    <row r="9" ht="42.0" customHeight="1">
      <c r="B9" s="17" t="s">
        <v>46</v>
      </c>
      <c r="C9" s="17" t="s">
        <v>48</v>
      </c>
      <c r="D9" s="17" t="s">
        <v>49</v>
      </c>
      <c r="E9" s="17" t="s">
        <v>50</v>
      </c>
      <c r="F9" s="17" t="s">
        <v>51</v>
      </c>
      <c r="G9" s="17" t="s">
        <v>52</v>
      </c>
      <c r="H9" s="17" t="s">
        <v>53</v>
      </c>
      <c r="I9" s="17" t="s">
        <v>54</v>
      </c>
      <c r="J9" s="17" t="s">
        <v>55</v>
      </c>
      <c r="K9" s="17" t="s">
        <v>56</v>
      </c>
      <c r="L9" s="17" t="s">
        <v>57</v>
      </c>
    </row>
    <row r="10">
      <c r="B10" s="19" t="s">
        <v>58</v>
      </c>
      <c r="C10" s="19" t="s">
        <v>61</v>
      </c>
      <c r="D10" s="19" t="s">
        <v>62</v>
      </c>
      <c r="E10" s="20">
        <v>40000.0</v>
      </c>
      <c r="F10" s="21">
        <v>46054.0</v>
      </c>
      <c r="G10" s="21">
        <v>46418.0</v>
      </c>
      <c r="H10" s="19" t="s">
        <v>63</v>
      </c>
      <c r="I10" s="20">
        <v>40000.0</v>
      </c>
      <c r="J10" s="20">
        <v>40000.0</v>
      </c>
      <c r="K10" s="23"/>
      <c r="L10" s="19"/>
    </row>
    <row r="11">
      <c r="B11" s="19" t="s">
        <v>67</v>
      </c>
      <c r="C11" s="19" t="s">
        <v>68</v>
      </c>
      <c r="D11" s="19" t="s">
        <v>62</v>
      </c>
      <c r="E11" s="20">
        <v>35000.0</v>
      </c>
      <c r="F11" s="21">
        <v>46113.0</v>
      </c>
      <c r="G11" s="21">
        <v>46477.0</v>
      </c>
      <c r="H11" s="19" t="s">
        <v>63</v>
      </c>
      <c r="I11" s="20">
        <v>35000.0</v>
      </c>
      <c r="J11" s="20">
        <v>35000.0</v>
      </c>
      <c r="K11" s="23"/>
      <c r="L11" s="19"/>
    </row>
    <row r="12">
      <c r="B12" s="19" t="s">
        <v>71</v>
      </c>
      <c r="C12" s="19" t="s">
        <v>61</v>
      </c>
      <c r="D12" s="19" t="s">
        <v>62</v>
      </c>
      <c r="E12" s="20">
        <v>30000.0</v>
      </c>
      <c r="F12" s="21">
        <v>46174.0</v>
      </c>
      <c r="G12" s="21">
        <v>46538.0</v>
      </c>
      <c r="H12" s="19" t="s">
        <v>73</v>
      </c>
      <c r="I12" s="20">
        <v>15000.0</v>
      </c>
      <c r="J12" s="20">
        <v>15000.0</v>
      </c>
      <c r="K12" s="23"/>
      <c r="L12" s="19"/>
    </row>
    <row r="13">
      <c r="B13" s="19" t="s">
        <v>74</v>
      </c>
      <c r="C13" s="19" t="s">
        <v>75</v>
      </c>
      <c r="D13" s="19" t="s">
        <v>62</v>
      </c>
      <c r="E13" s="20">
        <v>25000.0</v>
      </c>
      <c r="F13" s="21">
        <v>46235.0</v>
      </c>
      <c r="G13" s="21">
        <v>46599.0</v>
      </c>
      <c r="H13" s="19" t="s">
        <v>63</v>
      </c>
      <c r="I13" s="20">
        <v>25000.0</v>
      </c>
      <c r="J13" s="20">
        <v>25000.0</v>
      </c>
      <c r="K13" s="23"/>
      <c r="L13" s="19"/>
    </row>
    <row r="14">
      <c r="B14" s="19" t="s">
        <v>76</v>
      </c>
      <c r="C14" s="19" t="s">
        <v>61</v>
      </c>
      <c r="D14" s="19" t="s">
        <v>62</v>
      </c>
      <c r="E14" s="20">
        <v>20000.0</v>
      </c>
      <c r="F14" s="21">
        <v>46296.0</v>
      </c>
      <c r="G14" s="21">
        <v>46660.0</v>
      </c>
      <c r="H14" s="19" t="s">
        <v>73</v>
      </c>
      <c r="I14" s="20">
        <v>5000.0</v>
      </c>
      <c r="J14" s="20">
        <v>5000.0</v>
      </c>
      <c r="K14" s="23"/>
      <c r="L14" s="19"/>
    </row>
    <row r="15">
      <c r="B15" s="19" t="s">
        <v>77</v>
      </c>
      <c r="C15" s="19" t="s">
        <v>75</v>
      </c>
      <c r="D15" s="19" t="s">
        <v>62</v>
      </c>
      <c r="E15" s="20">
        <v>60000.0</v>
      </c>
      <c r="F15" s="21">
        <v>46388.0</v>
      </c>
      <c r="G15" s="21">
        <v>46752.0</v>
      </c>
      <c r="H15" s="19" t="s">
        <v>63</v>
      </c>
      <c r="I15" s="20">
        <v>0.0</v>
      </c>
      <c r="J15" s="20">
        <v>0.0</v>
      </c>
      <c r="K15" s="23"/>
      <c r="L15" s="19" t="s">
        <v>79</v>
      </c>
    </row>
    <row r="16">
      <c r="B16" s="19" t="s">
        <v>80</v>
      </c>
      <c r="C16" s="19" t="s">
        <v>75</v>
      </c>
      <c r="D16" s="19" t="s">
        <v>81</v>
      </c>
      <c r="E16" s="20">
        <v>8000.0</v>
      </c>
      <c r="F16" s="21">
        <v>46266.0</v>
      </c>
      <c r="G16" s="21">
        <v>46326.0</v>
      </c>
      <c r="H16" s="19" t="s">
        <v>82</v>
      </c>
      <c r="I16" s="20">
        <v>8000.0</v>
      </c>
      <c r="J16" s="20">
        <v>8000.0</v>
      </c>
      <c r="K16" s="23" t="s">
        <v>83</v>
      </c>
      <c r="L16" s="19" t="s">
        <v>84</v>
      </c>
    </row>
    <row r="17">
      <c r="B17" s="19" t="s">
        <v>86</v>
      </c>
      <c r="C17" s="19" t="s">
        <v>68</v>
      </c>
      <c r="D17" s="19" t="s">
        <v>87</v>
      </c>
      <c r="E17" s="20">
        <v>5000.0</v>
      </c>
      <c r="F17" s="21">
        <v>46113.0</v>
      </c>
      <c r="G17" s="21">
        <v>46142.0</v>
      </c>
      <c r="H17" s="19" t="s">
        <v>82</v>
      </c>
      <c r="I17" s="20">
        <v>5000.0</v>
      </c>
      <c r="J17" s="20">
        <v>5000.0</v>
      </c>
      <c r="K17" s="23"/>
      <c r="L17" s="19"/>
    </row>
    <row r="18">
      <c r="B18" s="19" t="s">
        <v>58</v>
      </c>
      <c r="C18" s="19" t="s">
        <v>61</v>
      </c>
      <c r="D18" s="19" t="s">
        <v>88</v>
      </c>
      <c r="E18" s="20">
        <v>40000.0</v>
      </c>
      <c r="F18" s="21">
        <v>46419.0</v>
      </c>
      <c r="G18" s="21">
        <v>46783.0</v>
      </c>
      <c r="H18" s="19" t="s">
        <v>63</v>
      </c>
      <c r="I18" s="20">
        <v>40000.0</v>
      </c>
      <c r="J18" s="20">
        <v>40000.0</v>
      </c>
      <c r="K18" s="23"/>
      <c r="L18" s="19" t="s">
        <v>89</v>
      </c>
    </row>
    <row r="19">
      <c r="B19" s="19" t="s">
        <v>67</v>
      </c>
      <c r="C19" s="19" t="s">
        <v>68</v>
      </c>
      <c r="D19" s="19" t="s">
        <v>88</v>
      </c>
      <c r="E19" s="20">
        <v>35000.0</v>
      </c>
      <c r="F19" s="21">
        <v>46478.0</v>
      </c>
      <c r="G19" s="21">
        <v>46843.0</v>
      </c>
      <c r="H19" s="19" t="s">
        <v>63</v>
      </c>
      <c r="I19" s="20">
        <v>35000.0</v>
      </c>
      <c r="J19" s="20">
        <v>35000.0</v>
      </c>
      <c r="K19" s="23"/>
      <c r="L19" s="19"/>
    </row>
    <row r="20">
      <c r="B20" s="19" t="s">
        <v>71</v>
      </c>
      <c r="C20" s="19" t="s">
        <v>61</v>
      </c>
      <c r="D20" s="19" t="s">
        <v>88</v>
      </c>
      <c r="E20" s="20">
        <v>30000.0</v>
      </c>
      <c r="F20" s="21">
        <v>46539.0</v>
      </c>
      <c r="G20" s="21">
        <v>46904.0</v>
      </c>
      <c r="H20" s="19" t="s">
        <v>73</v>
      </c>
      <c r="I20" s="20">
        <v>7500.0</v>
      </c>
      <c r="J20" s="20">
        <v>7500.0</v>
      </c>
      <c r="K20" s="23"/>
      <c r="L20" s="19"/>
    </row>
    <row r="21" ht="15.75" customHeight="1">
      <c r="B21" s="19" t="s">
        <v>74</v>
      </c>
      <c r="C21" s="19" t="s">
        <v>75</v>
      </c>
      <c r="D21" s="19" t="s">
        <v>88</v>
      </c>
      <c r="E21" s="20">
        <v>25000.0</v>
      </c>
      <c r="F21" s="21">
        <v>46600.0</v>
      </c>
      <c r="G21" s="21">
        <v>46965.0</v>
      </c>
      <c r="H21" s="19" t="s">
        <v>63</v>
      </c>
      <c r="I21" s="20">
        <v>25000.0</v>
      </c>
      <c r="J21" s="20">
        <v>25000.0</v>
      </c>
      <c r="K21" s="23"/>
      <c r="L21" s="19"/>
    </row>
    <row r="22" ht="15.75" customHeight="1">
      <c r="B22" s="19" t="s">
        <v>58</v>
      </c>
      <c r="C22" s="19" t="s">
        <v>61</v>
      </c>
      <c r="D22" s="19" t="s">
        <v>96</v>
      </c>
      <c r="E22" s="20">
        <v>10000.0</v>
      </c>
      <c r="F22" s="21">
        <v>46478.0</v>
      </c>
      <c r="G22" s="21">
        <v>46783.0</v>
      </c>
      <c r="H22" s="19" t="s">
        <v>63</v>
      </c>
      <c r="I22" s="20">
        <v>10000.0</v>
      </c>
      <c r="J22" s="20">
        <v>10000.0</v>
      </c>
      <c r="K22" s="23"/>
      <c r="L22" s="19" t="s">
        <v>97</v>
      </c>
    </row>
    <row r="23" ht="15.75" customHeight="1">
      <c r="B23" s="19" t="s">
        <v>74</v>
      </c>
      <c r="C23" s="19" t="s">
        <v>75</v>
      </c>
      <c r="D23" s="19" t="s">
        <v>96</v>
      </c>
      <c r="E23" s="20">
        <v>15000.0</v>
      </c>
      <c r="F23" s="21">
        <v>46600.0</v>
      </c>
      <c r="G23" s="21">
        <v>46965.0</v>
      </c>
      <c r="H23" s="19" t="s">
        <v>63</v>
      </c>
      <c r="I23" s="20">
        <v>15000.0</v>
      </c>
      <c r="J23" s="20">
        <v>15000.0</v>
      </c>
      <c r="K23" s="23"/>
      <c r="L23" s="19" t="s">
        <v>98</v>
      </c>
    </row>
    <row r="24" ht="15.75" customHeight="1">
      <c r="B24" s="19" t="s">
        <v>67</v>
      </c>
      <c r="C24" s="19" t="s">
        <v>68</v>
      </c>
      <c r="D24" s="19" t="s">
        <v>96</v>
      </c>
      <c r="E24" s="20">
        <v>10000.0</v>
      </c>
      <c r="F24" s="21">
        <v>46661.0</v>
      </c>
      <c r="G24" s="21">
        <v>46843.0</v>
      </c>
      <c r="H24" s="19" t="s">
        <v>63</v>
      </c>
      <c r="I24" s="20">
        <v>10000.0</v>
      </c>
      <c r="J24" s="20">
        <v>0.0</v>
      </c>
      <c r="K24" s="23"/>
      <c r="L24" s="19" t="s">
        <v>99</v>
      </c>
    </row>
    <row r="25" ht="15.75" customHeight="1">
      <c r="B25" s="19" t="s">
        <v>100</v>
      </c>
      <c r="C25" s="19" t="s">
        <v>75</v>
      </c>
      <c r="D25" s="19" t="s">
        <v>62</v>
      </c>
      <c r="E25" s="20">
        <v>35000.0</v>
      </c>
      <c r="F25" s="21">
        <v>46419.0</v>
      </c>
      <c r="G25" s="21">
        <v>46783.0</v>
      </c>
      <c r="H25" s="19" t="s">
        <v>63</v>
      </c>
      <c r="I25" s="20">
        <v>35000.0</v>
      </c>
      <c r="J25" s="20">
        <v>35000.0</v>
      </c>
      <c r="K25" s="23"/>
      <c r="L25" s="19"/>
    </row>
    <row r="26" ht="15.75" customHeight="1">
      <c r="B26" s="19" t="s">
        <v>101</v>
      </c>
      <c r="C26" s="19" t="s">
        <v>61</v>
      </c>
      <c r="D26" s="19" t="s">
        <v>62</v>
      </c>
      <c r="E26" s="20">
        <v>45000.0</v>
      </c>
      <c r="F26" s="21">
        <v>46447.0</v>
      </c>
      <c r="G26" s="21">
        <v>46812.0</v>
      </c>
      <c r="H26" s="19" t="s">
        <v>63</v>
      </c>
      <c r="I26" s="20">
        <v>45000.0</v>
      </c>
      <c r="J26" s="20">
        <v>45000.0</v>
      </c>
      <c r="K26" s="23"/>
      <c r="L26" s="19"/>
    </row>
    <row r="27" ht="15.75" customHeight="1">
      <c r="B27" s="19" t="s">
        <v>103</v>
      </c>
      <c r="C27" s="19" t="s">
        <v>104</v>
      </c>
      <c r="D27" s="19" t="s">
        <v>62</v>
      </c>
      <c r="E27" s="20">
        <v>40000.0</v>
      </c>
      <c r="F27" s="21">
        <v>46478.0</v>
      </c>
      <c r="G27" s="21">
        <v>46843.0</v>
      </c>
      <c r="H27" s="19" t="s">
        <v>73</v>
      </c>
      <c r="I27" s="20">
        <v>10000.0</v>
      </c>
      <c r="J27" s="20">
        <v>10000.0</v>
      </c>
      <c r="K27" s="23"/>
      <c r="L27" s="19"/>
    </row>
    <row r="28" ht="15.75" customHeight="1">
      <c r="B28" s="19" t="s">
        <v>105</v>
      </c>
      <c r="C28" s="19" t="s">
        <v>61</v>
      </c>
      <c r="D28" s="19" t="s">
        <v>62</v>
      </c>
      <c r="E28" s="20">
        <v>30000.0</v>
      </c>
      <c r="F28" s="21">
        <v>46508.0</v>
      </c>
      <c r="G28" s="21">
        <v>46873.0</v>
      </c>
      <c r="H28" s="19" t="s">
        <v>63</v>
      </c>
      <c r="I28" s="20">
        <v>30000.0</v>
      </c>
      <c r="J28" s="20">
        <v>30000.0</v>
      </c>
      <c r="K28" s="23"/>
      <c r="L28" s="19"/>
    </row>
    <row r="29" ht="15.75" customHeight="1">
      <c r="B29" s="19" t="s">
        <v>106</v>
      </c>
      <c r="C29" s="19" t="s">
        <v>75</v>
      </c>
      <c r="D29" s="19" t="s">
        <v>62</v>
      </c>
      <c r="E29" s="20">
        <v>50000.0</v>
      </c>
      <c r="F29" s="21">
        <v>46539.0</v>
      </c>
      <c r="G29" s="21">
        <v>46904.0</v>
      </c>
      <c r="H29" s="19" t="s">
        <v>63</v>
      </c>
      <c r="I29" s="20">
        <v>50000.0</v>
      </c>
      <c r="J29" s="20">
        <v>50000.0</v>
      </c>
      <c r="K29" s="23"/>
      <c r="L29" s="19"/>
    </row>
    <row r="30" ht="15.75" customHeight="1">
      <c r="B30" s="19" t="s">
        <v>107</v>
      </c>
      <c r="C30" s="19" t="s">
        <v>61</v>
      </c>
      <c r="D30" s="19" t="s">
        <v>62</v>
      </c>
      <c r="E30" s="20">
        <v>45000.0</v>
      </c>
      <c r="F30" s="21">
        <v>46569.0</v>
      </c>
      <c r="G30" s="21">
        <v>46934.0</v>
      </c>
      <c r="H30" s="19" t="s">
        <v>63</v>
      </c>
      <c r="I30" s="20">
        <v>45000.0</v>
      </c>
      <c r="J30" s="20">
        <v>45000.0</v>
      </c>
      <c r="K30" s="23"/>
      <c r="L30" s="19"/>
    </row>
    <row r="31" ht="15.75" customHeight="1">
      <c r="B31" s="19" t="s">
        <v>108</v>
      </c>
      <c r="C31" s="19" t="s">
        <v>68</v>
      </c>
      <c r="D31" s="19" t="s">
        <v>62</v>
      </c>
      <c r="E31" s="20">
        <v>20000.0</v>
      </c>
      <c r="F31" s="21">
        <v>46600.0</v>
      </c>
      <c r="G31" s="21">
        <v>46965.0</v>
      </c>
      <c r="H31" s="19" t="s">
        <v>109</v>
      </c>
      <c r="I31" s="20">
        <v>5000.0</v>
      </c>
      <c r="J31" s="20">
        <v>5000.0</v>
      </c>
      <c r="K31" s="23"/>
      <c r="L31" s="19"/>
    </row>
    <row r="32" ht="15.75" customHeight="1">
      <c r="B32" s="19" t="s">
        <v>111</v>
      </c>
      <c r="C32" s="19" t="s">
        <v>75</v>
      </c>
      <c r="D32" s="19" t="s">
        <v>62</v>
      </c>
      <c r="E32" s="20">
        <v>60000.0</v>
      </c>
      <c r="F32" s="21">
        <v>46631.0</v>
      </c>
      <c r="G32" s="21">
        <v>46996.0</v>
      </c>
      <c r="H32" s="19" t="s">
        <v>63</v>
      </c>
      <c r="I32" s="20">
        <v>60000.0</v>
      </c>
      <c r="J32" s="20">
        <v>60000.0</v>
      </c>
      <c r="K32" s="23"/>
      <c r="L32" s="19" t="s">
        <v>112</v>
      </c>
    </row>
    <row r="33" ht="15.75" customHeight="1">
      <c r="B33" s="19" t="s">
        <v>113</v>
      </c>
      <c r="C33" s="19" t="s">
        <v>61</v>
      </c>
      <c r="D33" s="19" t="s">
        <v>62</v>
      </c>
      <c r="E33" s="20">
        <v>50000.0</v>
      </c>
      <c r="F33" s="21">
        <v>46661.0</v>
      </c>
      <c r="G33" s="21">
        <v>47026.0</v>
      </c>
      <c r="H33" s="19" t="s">
        <v>63</v>
      </c>
      <c r="I33" s="20">
        <v>50000.0</v>
      </c>
      <c r="J33" s="20">
        <v>50000.0</v>
      </c>
      <c r="K33" s="23"/>
      <c r="L33" s="19"/>
    </row>
    <row r="34" ht="15.75" customHeight="1">
      <c r="B34" s="19" t="s">
        <v>114</v>
      </c>
      <c r="C34" s="19" t="s">
        <v>75</v>
      </c>
      <c r="D34" s="19" t="s">
        <v>81</v>
      </c>
      <c r="E34" s="20">
        <v>9000.0</v>
      </c>
      <c r="F34" s="21">
        <v>46539.0</v>
      </c>
      <c r="G34" s="21">
        <v>46599.0</v>
      </c>
      <c r="H34" s="19" t="s">
        <v>82</v>
      </c>
      <c r="I34" s="20">
        <v>9000.0</v>
      </c>
      <c r="J34" s="20">
        <v>9000.0</v>
      </c>
      <c r="K34" s="23" t="s">
        <v>83</v>
      </c>
      <c r="L34" s="19" t="s">
        <v>116</v>
      </c>
    </row>
    <row r="35" ht="15.75" customHeight="1">
      <c r="B35" s="19" t="s">
        <v>117</v>
      </c>
      <c r="C35" s="19" t="s">
        <v>61</v>
      </c>
      <c r="D35" s="19" t="s">
        <v>81</v>
      </c>
      <c r="E35" s="20">
        <v>6000.0</v>
      </c>
      <c r="F35" s="21">
        <v>46508.0</v>
      </c>
      <c r="G35" s="21">
        <v>46553.0</v>
      </c>
      <c r="H35" s="19" t="s">
        <v>82</v>
      </c>
      <c r="I35" s="20">
        <v>6000.0</v>
      </c>
      <c r="J35" s="20">
        <v>6000.0</v>
      </c>
      <c r="K35" s="23" t="s">
        <v>118</v>
      </c>
      <c r="L35" s="19" t="s">
        <v>119</v>
      </c>
    </row>
    <row r="36" ht="15.75" customHeight="1">
      <c r="B36" s="19"/>
      <c r="C36" s="19"/>
      <c r="D36" s="19"/>
      <c r="E36" s="20"/>
      <c r="F36" s="21"/>
      <c r="G36" s="21"/>
      <c r="H36" s="19"/>
      <c r="I36" s="20"/>
      <c r="J36" s="20"/>
      <c r="K36" s="23"/>
      <c r="L36" s="19"/>
    </row>
    <row r="37" ht="15.75" customHeight="1">
      <c r="B37" s="19"/>
      <c r="C37" s="19"/>
      <c r="D37" s="19"/>
      <c r="E37" s="20"/>
      <c r="F37" s="21"/>
      <c r="G37" s="21"/>
      <c r="H37" s="19"/>
      <c r="I37" s="20"/>
      <c r="J37" s="20"/>
      <c r="K37" s="23"/>
      <c r="L37" s="19"/>
    </row>
    <row r="38" ht="15.75" customHeight="1">
      <c r="B38" s="19"/>
      <c r="C38" s="19"/>
      <c r="D38" s="19"/>
      <c r="E38" s="20"/>
      <c r="F38" s="21"/>
      <c r="G38" s="21"/>
      <c r="H38" s="19"/>
      <c r="I38" s="20"/>
      <c r="J38" s="20"/>
      <c r="K38" s="23"/>
      <c r="L38" s="19"/>
    </row>
    <row r="39" ht="15.75" customHeight="1">
      <c r="B39" s="19"/>
      <c r="C39" s="19"/>
      <c r="D39" s="19"/>
      <c r="E39" s="20"/>
      <c r="F39" s="21"/>
      <c r="G39" s="21"/>
      <c r="H39" s="19"/>
      <c r="I39" s="20"/>
      <c r="J39" s="20"/>
      <c r="K39" s="23"/>
      <c r="L39" s="19"/>
    </row>
    <row r="40" ht="15.75" customHeight="1">
      <c r="B40" s="19"/>
      <c r="C40" s="19"/>
      <c r="D40" s="19"/>
      <c r="E40" s="20"/>
      <c r="F40" s="21"/>
      <c r="G40" s="21"/>
      <c r="H40" s="19"/>
      <c r="I40" s="20"/>
      <c r="J40" s="20"/>
      <c r="K40" s="23"/>
      <c r="L40" s="19"/>
    </row>
    <row r="41" ht="15.75" customHeight="1">
      <c r="B41" s="19"/>
      <c r="C41" s="19"/>
      <c r="D41" s="19"/>
      <c r="E41" s="20"/>
      <c r="F41" s="21"/>
      <c r="G41" s="21"/>
      <c r="H41" s="19"/>
      <c r="I41" s="20"/>
      <c r="J41" s="20"/>
      <c r="K41" s="23"/>
      <c r="L41" s="19"/>
    </row>
    <row r="42" ht="15.75" customHeight="1">
      <c r="B42" s="19"/>
      <c r="C42" s="19"/>
      <c r="D42" s="19"/>
      <c r="E42" s="20"/>
      <c r="F42" s="21"/>
      <c r="G42" s="21"/>
      <c r="H42" s="19"/>
      <c r="I42" s="20"/>
      <c r="J42" s="20"/>
      <c r="K42" s="23"/>
      <c r="L42" s="19"/>
    </row>
    <row r="43" ht="15.75" customHeight="1">
      <c r="B43" s="19"/>
      <c r="C43" s="19"/>
      <c r="D43" s="19"/>
      <c r="E43" s="20"/>
      <c r="F43" s="21"/>
      <c r="G43" s="21"/>
      <c r="H43" s="19"/>
      <c r="I43" s="20"/>
      <c r="J43" s="20"/>
      <c r="K43" s="23"/>
      <c r="L43" s="19"/>
    </row>
    <row r="44" ht="15.75" customHeight="1">
      <c r="B44" s="19"/>
      <c r="C44" s="19"/>
      <c r="D44" s="19"/>
      <c r="E44" s="20"/>
      <c r="F44" s="21"/>
      <c r="G44" s="21"/>
      <c r="H44" s="19"/>
      <c r="I44" s="20"/>
      <c r="J44" s="20"/>
      <c r="K44" s="23"/>
      <c r="L44" s="19"/>
    </row>
    <row r="45" ht="15.75" customHeight="1">
      <c r="B45" s="19"/>
      <c r="C45" s="19"/>
      <c r="D45" s="19"/>
      <c r="E45" s="20"/>
      <c r="F45" s="21"/>
      <c r="G45" s="21"/>
      <c r="H45" s="19"/>
      <c r="I45" s="20"/>
      <c r="J45" s="20"/>
      <c r="K45" s="23"/>
      <c r="L45" s="19"/>
    </row>
    <row r="46" ht="15.75" customHeight="1">
      <c r="B46" s="19"/>
      <c r="C46" s="19"/>
      <c r="D46" s="19"/>
      <c r="E46" s="20"/>
      <c r="F46" s="21"/>
      <c r="G46" s="21"/>
      <c r="H46" s="19"/>
      <c r="I46" s="20"/>
      <c r="J46" s="20"/>
      <c r="K46" s="23"/>
      <c r="L46" s="19"/>
    </row>
    <row r="47" ht="15.75" customHeight="1">
      <c r="B47" s="19"/>
      <c r="C47" s="19"/>
      <c r="D47" s="19"/>
      <c r="E47" s="20"/>
      <c r="F47" s="21"/>
      <c r="G47" s="21"/>
      <c r="H47" s="19"/>
      <c r="I47" s="20"/>
      <c r="J47" s="20"/>
      <c r="K47" s="23"/>
      <c r="L47" s="19"/>
    </row>
    <row r="48" ht="15.75" customHeight="1">
      <c r="B48" s="19"/>
      <c r="C48" s="19"/>
      <c r="D48" s="19"/>
      <c r="E48" s="20"/>
      <c r="F48" s="21"/>
      <c r="G48" s="21"/>
      <c r="H48" s="19"/>
      <c r="I48" s="20"/>
      <c r="J48" s="20"/>
      <c r="K48" s="23"/>
      <c r="L48" s="19"/>
    </row>
    <row r="49" ht="15.75" customHeight="1">
      <c r="B49" s="19"/>
      <c r="C49" s="19"/>
      <c r="D49" s="19"/>
      <c r="E49" s="20"/>
      <c r="F49" s="21"/>
      <c r="G49" s="21"/>
      <c r="H49" s="19"/>
      <c r="I49" s="20"/>
      <c r="J49" s="20"/>
      <c r="K49" s="23"/>
      <c r="L49" s="19"/>
    </row>
    <row r="50" ht="15.75" customHeight="1"/>
    <row r="51" ht="42.0" customHeight="1">
      <c r="B51" s="24" t="s">
        <v>122</v>
      </c>
    </row>
    <row r="52" ht="15.75" customHeight="1"/>
    <row r="53" ht="15.75" customHeight="1">
      <c r="B53" s="18" t="s">
        <v>47</v>
      </c>
    </row>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3:J3"/>
    <mergeCell ref="B51:L51"/>
  </mergeCells>
  <dataValidations>
    <dataValidation type="list" allowBlank="1" sqref="C10:C49">
      <formula1>"Architecture practice,Local planning authority,Planning consultancy,Developer,Other"</formula1>
    </dataValidation>
    <dataValidation type="list" allowBlank="1" sqref="H10:H49">
      <formula1>"Annual in advance,Quarterly,Monthly,One-off"</formula1>
    </dataValidation>
    <dataValidation type="list" allowBlank="1" sqref="K10:K49">
      <formula1>"Yes,No,Open"</formula1>
    </dataValidation>
    <dataValidation type="list" allowBlank="1" sqref="D10:D49">
      <formula1>"Recurring,Renewal,Expansion,Contraction,Pilot fee,Set-up fee,Services,Other one-off"</formula1>
    </dataValidation>
  </dataValidations>
  <printOptions/>
  <pageMargins bottom="0.7" footer="0.0" header="0.0" left="0.6" right="0.6" top="0.7"/>
  <pageSetup fitToHeight="0" paperSize="9" orientation="landscape"/>
  <headerFooter>
    <oddFooter>&amp;L A Sure Valley Ventures founder resource · svv.ai · v1 · 2026&amp;R Page &amp;P of </oddFooter>
  </headerFooter>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pane xSplit="2.0" ySplit="8.0" topLeftCell="C9" activePane="bottomRight" state="frozen"/>
      <selection activeCell="C1" sqref="C1" pane="topRight"/>
      <selection activeCell="A9" sqref="A9" pane="bottomLeft"/>
      <selection activeCell="C9" sqref="C9" pane="bottomRight"/>
    </sheetView>
  </sheetViews>
  <sheetFormatPr customHeight="1" defaultColWidth="14.43" defaultRowHeight="15.0"/>
  <cols>
    <col customWidth="1" min="1" max="1" width="2.0"/>
    <col customWidth="1" min="2" max="2" width="40.0"/>
    <col customWidth="1" min="3" max="26" width="11.0"/>
  </cols>
  <sheetData>
    <row r="1" ht="13.5" customHeight="1">
      <c r="A1" s="1" t="s">
        <v>27</v>
      </c>
    </row>
    <row r="2" ht="27.75" customHeight="1">
      <c r="A2" s="6" t="s">
        <v>30</v>
      </c>
    </row>
    <row r="3" ht="31.5" customHeight="1">
      <c r="A3" s="7" t="s">
        <v>31</v>
      </c>
    </row>
    <row r="5">
      <c r="B5" s="22" t="s">
        <v>65</v>
      </c>
      <c r="C5" s="21">
        <v>46327.0</v>
      </c>
    </row>
    <row r="7">
      <c r="B7" s="25" t="s">
        <v>72</v>
      </c>
      <c r="C7" s="26">
        <v>1.0</v>
      </c>
      <c r="D7" s="26">
        <v>2.0</v>
      </c>
      <c r="E7" s="26">
        <v>3.0</v>
      </c>
      <c r="F7" s="26">
        <v>4.0</v>
      </c>
      <c r="G7" s="26">
        <v>5.0</v>
      </c>
      <c r="H7" s="26">
        <v>6.0</v>
      </c>
      <c r="I7" s="26">
        <v>7.0</v>
      </c>
      <c r="J7" s="26">
        <v>8.0</v>
      </c>
      <c r="K7" s="26">
        <v>9.0</v>
      </c>
      <c r="L7" s="26">
        <v>10.0</v>
      </c>
      <c r="M7" s="26">
        <v>11.0</v>
      </c>
      <c r="N7" s="26">
        <v>12.0</v>
      </c>
      <c r="O7" s="26">
        <v>13.0</v>
      </c>
      <c r="P7" s="26">
        <v>14.0</v>
      </c>
      <c r="Q7" s="26">
        <v>15.0</v>
      </c>
      <c r="R7" s="26">
        <v>16.0</v>
      </c>
      <c r="S7" s="26">
        <v>17.0</v>
      </c>
      <c r="T7" s="26">
        <v>18.0</v>
      </c>
      <c r="U7" s="26">
        <v>19.0</v>
      </c>
      <c r="V7" s="26">
        <v>20.0</v>
      </c>
      <c r="W7" s="26">
        <v>21.0</v>
      </c>
      <c r="X7" s="26">
        <v>22.0</v>
      </c>
      <c r="Y7" s="26">
        <v>23.0</v>
      </c>
      <c r="Z7" s="26">
        <v>24.0</v>
      </c>
    </row>
    <row r="8" ht="19.5" customHeight="1">
      <c r="B8" s="27" t="s">
        <v>78</v>
      </c>
      <c r="C8" s="31">
        <f t="shared" ref="C8:Z8" si="1">EDATE($C$5,C7-1)</f>
        <v>46327</v>
      </c>
      <c r="D8" s="31">
        <f t="shared" si="1"/>
        <v>46357</v>
      </c>
      <c r="E8" s="31">
        <f t="shared" si="1"/>
        <v>46388</v>
      </c>
      <c r="F8" s="31">
        <f t="shared" si="1"/>
        <v>46419</v>
      </c>
      <c r="G8" s="31">
        <f t="shared" si="1"/>
        <v>46447</v>
      </c>
      <c r="H8" s="31">
        <f t="shared" si="1"/>
        <v>46478</v>
      </c>
      <c r="I8" s="31">
        <f t="shared" si="1"/>
        <v>46508</v>
      </c>
      <c r="J8" s="31">
        <f t="shared" si="1"/>
        <v>46539</v>
      </c>
      <c r="K8" s="31">
        <f t="shared" si="1"/>
        <v>46569</v>
      </c>
      <c r="L8" s="31">
        <f t="shared" si="1"/>
        <v>46600</v>
      </c>
      <c r="M8" s="31">
        <f t="shared" si="1"/>
        <v>46631</v>
      </c>
      <c r="N8" s="31">
        <f t="shared" si="1"/>
        <v>46661</v>
      </c>
      <c r="O8" s="31">
        <f t="shared" si="1"/>
        <v>46692</v>
      </c>
      <c r="P8" s="31">
        <f t="shared" si="1"/>
        <v>46722</v>
      </c>
      <c r="Q8" s="31">
        <f t="shared" si="1"/>
        <v>46753</v>
      </c>
      <c r="R8" s="31">
        <f t="shared" si="1"/>
        <v>46784</v>
      </c>
      <c r="S8" s="31">
        <f t="shared" si="1"/>
        <v>46813</v>
      </c>
      <c r="T8" s="31">
        <f t="shared" si="1"/>
        <v>46844</v>
      </c>
      <c r="U8" s="31">
        <f t="shared" si="1"/>
        <v>46874</v>
      </c>
      <c r="V8" s="31">
        <f t="shared" si="1"/>
        <v>46905</v>
      </c>
      <c r="W8" s="31">
        <f t="shared" si="1"/>
        <v>46935</v>
      </c>
      <c r="X8" s="31">
        <f t="shared" si="1"/>
        <v>46966</v>
      </c>
      <c r="Y8" s="31">
        <f t="shared" si="1"/>
        <v>46997</v>
      </c>
      <c r="Z8" s="31">
        <f t="shared" si="1"/>
        <v>47027</v>
      </c>
    </row>
    <row r="9">
      <c r="B9" s="25" t="s">
        <v>102</v>
      </c>
      <c r="C9" s="33">
        <f t="shared" ref="C9:Z9" si="2">EOMONTH(C8,0)</f>
        <v>46356</v>
      </c>
      <c r="D9" s="33">
        <f t="shared" si="2"/>
        <v>46387</v>
      </c>
      <c r="E9" s="33">
        <f t="shared" si="2"/>
        <v>46418</v>
      </c>
      <c r="F9" s="33">
        <f t="shared" si="2"/>
        <v>46446</v>
      </c>
      <c r="G9" s="33">
        <f t="shared" si="2"/>
        <v>46477</v>
      </c>
      <c r="H9" s="33">
        <f t="shared" si="2"/>
        <v>46507</v>
      </c>
      <c r="I9" s="33">
        <f t="shared" si="2"/>
        <v>46538</v>
      </c>
      <c r="J9" s="33">
        <f t="shared" si="2"/>
        <v>46568</v>
      </c>
      <c r="K9" s="33">
        <f t="shared" si="2"/>
        <v>46599</v>
      </c>
      <c r="L9" s="33">
        <f t="shared" si="2"/>
        <v>46630</v>
      </c>
      <c r="M9" s="33">
        <f t="shared" si="2"/>
        <v>46660</v>
      </c>
      <c r="N9" s="33">
        <f t="shared" si="2"/>
        <v>46691</v>
      </c>
      <c r="O9" s="33">
        <f t="shared" si="2"/>
        <v>46721</v>
      </c>
      <c r="P9" s="33">
        <f t="shared" si="2"/>
        <v>46752</v>
      </c>
      <c r="Q9" s="33">
        <f t="shared" si="2"/>
        <v>46783</v>
      </c>
      <c r="R9" s="33">
        <f t="shared" si="2"/>
        <v>46812</v>
      </c>
      <c r="S9" s="33">
        <f t="shared" si="2"/>
        <v>46843</v>
      </c>
      <c r="T9" s="33">
        <f t="shared" si="2"/>
        <v>46873</v>
      </c>
      <c r="U9" s="33">
        <f t="shared" si="2"/>
        <v>46904</v>
      </c>
      <c r="V9" s="33">
        <f t="shared" si="2"/>
        <v>46934</v>
      </c>
      <c r="W9" s="33">
        <f t="shared" si="2"/>
        <v>46965</v>
      </c>
      <c r="X9" s="33">
        <f t="shared" si="2"/>
        <v>46996</v>
      </c>
      <c r="Y9" s="33">
        <f t="shared" si="2"/>
        <v>47026</v>
      </c>
      <c r="Z9" s="33">
        <f t="shared" si="2"/>
        <v>47057</v>
      </c>
    </row>
    <row r="10">
      <c r="B10" s="25" t="s">
        <v>115</v>
      </c>
      <c r="C10" s="33">
        <f t="shared" ref="C10:Z10" si="3">EOMONTH(C8,-1)</f>
        <v>46326</v>
      </c>
      <c r="D10" s="33">
        <f t="shared" si="3"/>
        <v>46356</v>
      </c>
      <c r="E10" s="33">
        <f t="shared" si="3"/>
        <v>46387</v>
      </c>
      <c r="F10" s="33">
        <f t="shared" si="3"/>
        <v>46418</v>
      </c>
      <c r="G10" s="33">
        <f t="shared" si="3"/>
        <v>46446</v>
      </c>
      <c r="H10" s="33">
        <f t="shared" si="3"/>
        <v>46477</v>
      </c>
      <c r="I10" s="33">
        <f t="shared" si="3"/>
        <v>46507</v>
      </c>
      <c r="J10" s="33">
        <f t="shared" si="3"/>
        <v>46538</v>
      </c>
      <c r="K10" s="33">
        <f t="shared" si="3"/>
        <v>46568</v>
      </c>
      <c r="L10" s="33">
        <f t="shared" si="3"/>
        <v>46599</v>
      </c>
      <c r="M10" s="33">
        <f t="shared" si="3"/>
        <v>46630</v>
      </c>
      <c r="N10" s="33">
        <f t="shared" si="3"/>
        <v>46660</v>
      </c>
      <c r="O10" s="33">
        <f t="shared" si="3"/>
        <v>46691</v>
      </c>
      <c r="P10" s="33">
        <f t="shared" si="3"/>
        <v>46721</v>
      </c>
      <c r="Q10" s="33">
        <f t="shared" si="3"/>
        <v>46752</v>
      </c>
      <c r="R10" s="33">
        <f t="shared" si="3"/>
        <v>46783</v>
      </c>
      <c r="S10" s="33">
        <f t="shared" si="3"/>
        <v>46812</v>
      </c>
      <c r="T10" s="33">
        <f t="shared" si="3"/>
        <v>46843</v>
      </c>
      <c r="U10" s="33">
        <f t="shared" si="3"/>
        <v>46873</v>
      </c>
      <c r="V10" s="33">
        <f t="shared" si="3"/>
        <v>46904</v>
      </c>
      <c r="W10" s="33">
        <f t="shared" si="3"/>
        <v>46934</v>
      </c>
      <c r="X10" s="33">
        <f t="shared" si="3"/>
        <v>46965</v>
      </c>
      <c r="Y10" s="33">
        <f t="shared" si="3"/>
        <v>46996</v>
      </c>
      <c r="Z10" s="33">
        <f t="shared" si="3"/>
        <v>47026</v>
      </c>
    </row>
    <row r="12">
      <c r="B12" s="32" t="s">
        <v>120</v>
      </c>
      <c r="C12" s="34">
        <f>SUMPRODUCT((('Revenue register'!$D$10:$D$49="Recurring")+('Revenue register'!$D$10:$D$49="Renewal")+('Revenue register'!$D$10:$D$49="Expansion"))*('Revenue register'!$F$10:$F$49&lt;=C$10)*('Revenue register'!$G$10:$G$49&gt;=C$10)*'Revenue register'!$E$10:$E$49)-SUMPRODUCT(('Revenue register'!$D$10:$D$49="Contraction")*('Revenue register'!$F$10:$F$49&lt;=C$10)*('Revenue register'!$G$10:$G$49&gt;=C$10)*'Revenue register'!$E$10:$E$49)</f>
        <v>150000</v>
      </c>
      <c r="D12" s="34">
        <f t="shared" ref="D12:Z12" si="4">C17</f>
        <v>150000</v>
      </c>
      <c r="E12" s="34">
        <f t="shared" si="4"/>
        <v>150000</v>
      </c>
      <c r="F12" s="34">
        <f t="shared" si="4"/>
        <v>210000</v>
      </c>
      <c r="G12" s="34">
        <f t="shared" si="4"/>
        <v>245000</v>
      </c>
      <c r="H12" s="34">
        <f t="shared" si="4"/>
        <v>290000</v>
      </c>
      <c r="I12" s="34">
        <f t="shared" si="4"/>
        <v>340000</v>
      </c>
      <c r="J12" s="34">
        <f t="shared" si="4"/>
        <v>370000</v>
      </c>
      <c r="K12" s="34">
        <f t="shared" si="4"/>
        <v>420000</v>
      </c>
      <c r="L12" s="34">
        <f t="shared" si="4"/>
        <v>465000</v>
      </c>
      <c r="M12" s="34">
        <f t="shared" si="4"/>
        <v>500000</v>
      </c>
      <c r="N12" s="34">
        <f t="shared" si="4"/>
        <v>560000</v>
      </c>
      <c r="O12" s="34">
        <f t="shared" si="4"/>
        <v>600000</v>
      </c>
      <c r="P12" s="34">
        <f t="shared" si="4"/>
        <v>600000</v>
      </c>
      <c r="Q12" s="34">
        <f t="shared" si="4"/>
        <v>600000</v>
      </c>
      <c r="R12" s="34">
        <f t="shared" si="4"/>
        <v>540000</v>
      </c>
      <c r="S12" s="34">
        <f t="shared" si="4"/>
        <v>455000</v>
      </c>
      <c r="T12" s="34">
        <f t="shared" si="4"/>
        <v>410000</v>
      </c>
      <c r="U12" s="34">
        <f t="shared" si="4"/>
        <v>325000</v>
      </c>
      <c r="V12" s="34">
        <f t="shared" si="4"/>
        <v>295000</v>
      </c>
      <c r="W12" s="34">
        <f t="shared" si="4"/>
        <v>215000</v>
      </c>
      <c r="X12" s="34">
        <f t="shared" si="4"/>
        <v>170000</v>
      </c>
      <c r="Y12" s="34">
        <f t="shared" si="4"/>
        <v>110000</v>
      </c>
      <c r="Z12" s="34">
        <f t="shared" si="4"/>
        <v>50000</v>
      </c>
    </row>
    <row r="13">
      <c r="B13" s="22" t="s">
        <v>124</v>
      </c>
      <c r="C13" s="36">
        <f>SUMPRODUCT(('Revenue register'!$D$10:$D$49="Recurring")*('Revenue register'!$F$10:$F$49&gt;=C$8)*('Revenue register'!$F$10:$F$49&lt;=C$9)*'Revenue register'!$E$10:$E$49)</f>
        <v>0</v>
      </c>
      <c r="D13" s="36">
        <f>SUMPRODUCT(('Revenue register'!$D$10:$D$49="Recurring")*('Revenue register'!$F$10:$F$49&gt;=D$8)*('Revenue register'!$F$10:$F$49&lt;=D$9)*'Revenue register'!$E$10:$E$49)</f>
        <v>0</v>
      </c>
      <c r="E13" s="36">
        <f>SUMPRODUCT(('Revenue register'!$D$10:$D$49="Recurring")*('Revenue register'!$F$10:$F$49&gt;=E$8)*('Revenue register'!$F$10:$F$49&lt;=E$9)*'Revenue register'!$E$10:$E$49)</f>
        <v>60000</v>
      </c>
      <c r="F13" s="36">
        <f>SUMPRODUCT(('Revenue register'!$D$10:$D$49="Recurring")*('Revenue register'!$F$10:$F$49&gt;=F$8)*('Revenue register'!$F$10:$F$49&lt;=F$9)*'Revenue register'!$E$10:$E$49)</f>
        <v>35000</v>
      </c>
      <c r="G13" s="36">
        <f>SUMPRODUCT(('Revenue register'!$D$10:$D$49="Recurring")*('Revenue register'!$F$10:$F$49&gt;=G$8)*('Revenue register'!$F$10:$F$49&lt;=G$9)*'Revenue register'!$E$10:$E$49)</f>
        <v>45000</v>
      </c>
      <c r="H13" s="36">
        <f>SUMPRODUCT(('Revenue register'!$D$10:$D$49="Recurring")*('Revenue register'!$F$10:$F$49&gt;=H$8)*('Revenue register'!$F$10:$F$49&lt;=H$9)*'Revenue register'!$E$10:$E$49)</f>
        <v>40000</v>
      </c>
      <c r="I13" s="36">
        <f>SUMPRODUCT(('Revenue register'!$D$10:$D$49="Recurring")*('Revenue register'!$F$10:$F$49&gt;=I$8)*('Revenue register'!$F$10:$F$49&lt;=I$9)*'Revenue register'!$E$10:$E$49)</f>
        <v>30000</v>
      </c>
      <c r="J13" s="36">
        <f>SUMPRODUCT(('Revenue register'!$D$10:$D$49="Recurring")*('Revenue register'!$F$10:$F$49&gt;=J$8)*('Revenue register'!$F$10:$F$49&lt;=J$9)*'Revenue register'!$E$10:$E$49)</f>
        <v>50000</v>
      </c>
      <c r="K13" s="36">
        <f>SUMPRODUCT(('Revenue register'!$D$10:$D$49="Recurring")*('Revenue register'!$F$10:$F$49&gt;=K$8)*('Revenue register'!$F$10:$F$49&lt;=K$9)*'Revenue register'!$E$10:$E$49)</f>
        <v>45000</v>
      </c>
      <c r="L13" s="36">
        <f>SUMPRODUCT(('Revenue register'!$D$10:$D$49="Recurring")*('Revenue register'!$F$10:$F$49&gt;=L$8)*('Revenue register'!$F$10:$F$49&lt;=L$9)*'Revenue register'!$E$10:$E$49)</f>
        <v>20000</v>
      </c>
      <c r="M13" s="36">
        <f>SUMPRODUCT(('Revenue register'!$D$10:$D$49="Recurring")*('Revenue register'!$F$10:$F$49&gt;=M$8)*('Revenue register'!$F$10:$F$49&lt;=M$9)*'Revenue register'!$E$10:$E$49)</f>
        <v>60000</v>
      </c>
      <c r="N13" s="36">
        <f>SUMPRODUCT(('Revenue register'!$D$10:$D$49="Recurring")*('Revenue register'!$F$10:$F$49&gt;=N$8)*('Revenue register'!$F$10:$F$49&lt;=N$9)*'Revenue register'!$E$10:$E$49)</f>
        <v>50000</v>
      </c>
      <c r="O13" s="36">
        <f>SUMPRODUCT(('Revenue register'!$D$10:$D$49="Recurring")*('Revenue register'!$F$10:$F$49&gt;=O$8)*('Revenue register'!$F$10:$F$49&lt;=O$9)*'Revenue register'!$E$10:$E$49)</f>
        <v>0</v>
      </c>
      <c r="P13" s="36">
        <f>SUMPRODUCT(('Revenue register'!$D$10:$D$49="Recurring")*('Revenue register'!$F$10:$F$49&gt;=P$8)*('Revenue register'!$F$10:$F$49&lt;=P$9)*'Revenue register'!$E$10:$E$49)</f>
        <v>0</v>
      </c>
      <c r="Q13" s="36">
        <f>SUMPRODUCT(('Revenue register'!$D$10:$D$49="Recurring")*('Revenue register'!$F$10:$F$49&gt;=Q$8)*('Revenue register'!$F$10:$F$49&lt;=Q$9)*'Revenue register'!$E$10:$E$49)</f>
        <v>0</v>
      </c>
      <c r="R13" s="36">
        <f>SUMPRODUCT(('Revenue register'!$D$10:$D$49="Recurring")*('Revenue register'!$F$10:$F$49&gt;=R$8)*('Revenue register'!$F$10:$F$49&lt;=R$9)*'Revenue register'!$E$10:$E$49)</f>
        <v>0</v>
      </c>
      <c r="S13" s="36">
        <f>SUMPRODUCT(('Revenue register'!$D$10:$D$49="Recurring")*('Revenue register'!$F$10:$F$49&gt;=S$8)*('Revenue register'!$F$10:$F$49&lt;=S$9)*'Revenue register'!$E$10:$E$49)</f>
        <v>0</v>
      </c>
      <c r="T13" s="36">
        <f>SUMPRODUCT(('Revenue register'!$D$10:$D$49="Recurring")*('Revenue register'!$F$10:$F$49&gt;=T$8)*('Revenue register'!$F$10:$F$49&lt;=T$9)*'Revenue register'!$E$10:$E$49)</f>
        <v>0</v>
      </c>
      <c r="U13" s="36">
        <f>SUMPRODUCT(('Revenue register'!$D$10:$D$49="Recurring")*('Revenue register'!$F$10:$F$49&gt;=U$8)*('Revenue register'!$F$10:$F$49&lt;=U$9)*'Revenue register'!$E$10:$E$49)</f>
        <v>0</v>
      </c>
      <c r="V13" s="36">
        <f>SUMPRODUCT(('Revenue register'!$D$10:$D$49="Recurring")*('Revenue register'!$F$10:$F$49&gt;=V$8)*('Revenue register'!$F$10:$F$49&lt;=V$9)*'Revenue register'!$E$10:$E$49)</f>
        <v>0</v>
      </c>
      <c r="W13" s="36">
        <f>SUMPRODUCT(('Revenue register'!$D$10:$D$49="Recurring")*('Revenue register'!$F$10:$F$49&gt;=W$8)*('Revenue register'!$F$10:$F$49&lt;=W$9)*'Revenue register'!$E$10:$E$49)</f>
        <v>0</v>
      </c>
      <c r="X13" s="36">
        <f>SUMPRODUCT(('Revenue register'!$D$10:$D$49="Recurring")*('Revenue register'!$F$10:$F$49&gt;=X$8)*('Revenue register'!$F$10:$F$49&lt;=X$9)*'Revenue register'!$E$10:$E$49)</f>
        <v>0</v>
      </c>
      <c r="Y13" s="36">
        <f>SUMPRODUCT(('Revenue register'!$D$10:$D$49="Recurring")*('Revenue register'!$F$10:$F$49&gt;=Y$8)*('Revenue register'!$F$10:$F$49&lt;=Y$9)*'Revenue register'!$E$10:$E$49)</f>
        <v>0</v>
      </c>
      <c r="Z13" s="36">
        <f>SUMPRODUCT(('Revenue register'!$D$10:$D$49="Recurring")*('Revenue register'!$F$10:$F$49&gt;=Z$8)*('Revenue register'!$F$10:$F$49&lt;=Z$9)*'Revenue register'!$E$10:$E$49)</f>
        <v>0</v>
      </c>
    </row>
    <row r="14">
      <c r="B14" s="22" t="s">
        <v>162</v>
      </c>
      <c r="C14" s="36">
        <f>SUMPRODUCT(('Revenue register'!$D$10:$D$49="Expansion")*('Revenue register'!$F$10:$F$49&gt;=C$8)*('Revenue register'!$F$10:$F$49&lt;=C$9)*'Revenue register'!$E$10:$E$49)</f>
        <v>0</v>
      </c>
      <c r="D14" s="36">
        <f>SUMPRODUCT(('Revenue register'!$D$10:$D$49="Expansion")*('Revenue register'!$F$10:$F$49&gt;=D$8)*('Revenue register'!$F$10:$F$49&lt;=D$9)*'Revenue register'!$E$10:$E$49)</f>
        <v>0</v>
      </c>
      <c r="E14" s="36">
        <f>SUMPRODUCT(('Revenue register'!$D$10:$D$49="Expansion")*('Revenue register'!$F$10:$F$49&gt;=E$8)*('Revenue register'!$F$10:$F$49&lt;=E$9)*'Revenue register'!$E$10:$E$49)</f>
        <v>0</v>
      </c>
      <c r="F14" s="36">
        <f>SUMPRODUCT(('Revenue register'!$D$10:$D$49="Expansion")*('Revenue register'!$F$10:$F$49&gt;=F$8)*('Revenue register'!$F$10:$F$49&lt;=F$9)*'Revenue register'!$E$10:$E$49)</f>
        <v>0</v>
      </c>
      <c r="G14" s="36">
        <f>SUMPRODUCT(('Revenue register'!$D$10:$D$49="Expansion")*('Revenue register'!$F$10:$F$49&gt;=G$8)*('Revenue register'!$F$10:$F$49&lt;=G$9)*'Revenue register'!$E$10:$E$49)</f>
        <v>0</v>
      </c>
      <c r="H14" s="36">
        <f>SUMPRODUCT(('Revenue register'!$D$10:$D$49="Expansion")*('Revenue register'!$F$10:$F$49&gt;=H$8)*('Revenue register'!$F$10:$F$49&lt;=H$9)*'Revenue register'!$E$10:$E$49)</f>
        <v>10000</v>
      </c>
      <c r="I14" s="36">
        <f>SUMPRODUCT(('Revenue register'!$D$10:$D$49="Expansion")*('Revenue register'!$F$10:$F$49&gt;=I$8)*('Revenue register'!$F$10:$F$49&lt;=I$9)*'Revenue register'!$E$10:$E$49)</f>
        <v>0</v>
      </c>
      <c r="J14" s="36">
        <f>SUMPRODUCT(('Revenue register'!$D$10:$D$49="Expansion")*('Revenue register'!$F$10:$F$49&gt;=J$8)*('Revenue register'!$F$10:$F$49&lt;=J$9)*'Revenue register'!$E$10:$E$49)</f>
        <v>0</v>
      </c>
      <c r="K14" s="36">
        <f>SUMPRODUCT(('Revenue register'!$D$10:$D$49="Expansion")*('Revenue register'!$F$10:$F$49&gt;=K$8)*('Revenue register'!$F$10:$F$49&lt;=K$9)*'Revenue register'!$E$10:$E$49)</f>
        <v>0</v>
      </c>
      <c r="L14" s="36">
        <f>SUMPRODUCT(('Revenue register'!$D$10:$D$49="Expansion")*('Revenue register'!$F$10:$F$49&gt;=L$8)*('Revenue register'!$F$10:$F$49&lt;=L$9)*'Revenue register'!$E$10:$E$49)</f>
        <v>15000</v>
      </c>
      <c r="M14" s="36">
        <f>SUMPRODUCT(('Revenue register'!$D$10:$D$49="Expansion")*('Revenue register'!$F$10:$F$49&gt;=M$8)*('Revenue register'!$F$10:$F$49&lt;=M$9)*'Revenue register'!$E$10:$E$49)</f>
        <v>0</v>
      </c>
      <c r="N14" s="36">
        <f>SUMPRODUCT(('Revenue register'!$D$10:$D$49="Expansion")*('Revenue register'!$F$10:$F$49&gt;=N$8)*('Revenue register'!$F$10:$F$49&lt;=N$9)*'Revenue register'!$E$10:$E$49)</f>
        <v>10000</v>
      </c>
      <c r="O14" s="36">
        <f>SUMPRODUCT(('Revenue register'!$D$10:$D$49="Expansion")*('Revenue register'!$F$10:$F$49&gt;=O$8)*('Revenue register'!$F$10:$F$49&lt;=O$9)*'Revenue register'!$E$10:$E$49)</f>
        <v>0</v>
      </c>
      <c r="P14" s="36">
        <f>SUMPRODUCT(('Revenue register'!$D$10:$D$49="Expansion")*('Revenue register'!$F$10:$F$49&gt;=P$8)*('Revenue register'!$F$10:$F$49&lt;=P$9)*'Revenue register'!$E$10:$E$49)</f>
        <v>0</v>
      </c>
      <c r="Q14" s="36">
        <f>SUMPRODUCT(('Revenue register'!$D$10:$D$49="Expansion")*('Revenue register'!$F$10:$F$49&gt;=Q$8)*('Revenue register'!$F$10:$F$49&lt;=Q$9)*'Revenue register'!$E$10:$E$49)</f>
        <v>0</v>
      </c>
      <c r="R14" s="36">
        <f>SUMPRODUCT(('Revenue register'!$D$10:$D$49="Expansion")*('Revenue register'!$F$10:$F$49&gt;=R$8)*('Revenue register'!$F$10:$F$49&lt;=R$9)*'Revenue register'!$E$10:$E$49)</f>
        <v>0</v>
      </c>
      <c r="S14" s="36">
        <f>SUMPRODUCT(('Revenue register'!$D$10:$D$49="Expansion")*('Revenue register'!$F$10:$F$49&gt;=S$8)*('Revenue register'!$F$10:$F$49&lt;=S$9)*'Revenue register'!$E$10:$E$49)</f>
        <v>0</v>
      </c>
      <c r="T14" s="36">
        <f>SUMPRODUCT(('Revenue register'!$D$10:$D$49="Expansion")*('Revenue register'!$F$10:$F$49&gt;=T$8)*('Revenue register'!$F$10:$F$49&lt;=T$9)*'Revenue register'!$E$10:$E$49)</f>
        <v>0</v>
      </c>
      <c r="U14" s="36">
        <f>SUMPRODUCT(('Revenue register'!$D$10:$D$49="Expansion")*('Revenue register'!$F$10:$F$49&gt;=U$8)*('Revenue register'!$F$10:$F$49&lt;=U$9)*'Revenue register'!$E$10:$E$49)</f>
        <v>0</v>
      </c>
      <c r="V14" s="36">
        <f>SUMPRODUCT(('Revenue register'!$D$10:$D$49="Expansion")*('Revenue register'!$F$10:$F$49&gt;=V$8)*('Revenue register'!$F$10:$F$49&lt;=V$9)*'Revenue register'!$E$10:$E$49)</f>
        <v>0</v>
      </c>
      <c r="W14" s="36">
        <f>SUMPRODUCT(('Revenue register'!$D$10:$D$49="Expansion")*('Revenue register'!$F$10:$F$49&gt;=W$8)*('Revenue register'!$F$10:$F$49&lt;=W$9)*'Revenue register'!$E$10:$E$49)</f>
        <v>0</v>
      </c>
      <c r="X14" s="36">
        <f>SUMPRODUCT(('Revenue register'!$D$10:$D$49="Expansion")*('Revenue register'!$F$10:$F$49&gt;=X$8)*('Revenue register'!$F$10:$F$49&lt;=X$9)*'Revenue register'!$E$10:$E$49)</f>
        <v>0</v>
      </c>
      <c r="Y14" s="36">
        <f>SUMPRODUCT(('Revenue register'!$D$10:$D$49="Expansion")*('Revenue register'!$F$10:$F$49&gt;=Y$8)*('Revenue register'!$F$10:$F$49&lt;=Y$9)*'Revenue register'!$E$10:$E$49)</f>
        <v>0</v>
      </c>
      <c r="Z14" s="36">
        <f>SUMPRODUCT(('Revenue register'!$D$10:$D$49="Expansion")*('Revenue register'!$F$10:$F$49&gt;=Z$8)*('Revenue register'!$F$10:$F$49&lt;=Z$9)*'Revenue register'!$E$10:$E$49)</f>
        <v>0</v>
      </c>
    </row>
    <row r="15">
      <c r="B15" s="22" t="s">
        <v>167</v>
      </c>
      <c r="C15" s="36">
        <f>-SUMPRODUCT(('Revenue register'!$D$10:$D$49="Contraction")*('Revenue register'!$F$10:$F$49&gt;=C$8)*('Revenue register'!$F$10:$F$49&lt;=C$9)*'Revenue register'!$E$10:$E$49)</f>
        <v>0</v>
      </c>
      <c r="D15" s="36">
        <f>-SUMPRODUCT(('Revenue register'!$D$10:$D$49="Contraction")*('Revenue register'!$F$10:$F$49&gt;=D$8)*('Revenue register'!$F$10:$F$49&lt;=D$9)*'Revenue register'!$E$10:$E$49)</f>
        <v>0</v>
      </c>
      <c r="E15" s="36">
        <f>-SUMPRODUCT(('Revenue register'!$D$10:$D$49="Contraction")*('Revenue register'!$F$10:$F$49&gt;=E$8)*('Revenue register'!$F$10:$F$49&lt;=E$9)*'Revenue register'!$E$10:$E$49)</f>
        <v>0</v>
      </c>
      <c r="F15" s="36">
        <f>-SUMPRODUCT(('Revenue register'!$D$10:$D$49="Contraction")*('Revenue register'!$F$10:$F$49&gt;=F$8)*('Revenue register'!$F$10:$F$49&lt;=F$9)*'Revenue register'!$E$10:$E$49)</f>
        <v>0</v>
      </c>
      <c r="G15" s="36">
        <f>-SUMPRODUCT(('Revenue register'!$D$10:$D$49="Contraction")*('Revenue register'!$F$10:$F$49&gt;=G$8)*('Revenue register'!$F$10:$F$49&lt;=G$9)*'Revenue register'!$E$10:$E$49)</f>
        <v>0</v>
      </c>
      <c r="H15" s="36">
        <f>-SUMPRODUCT(('Revenue register'!$D$10:$D$49="Contraction")*('Revenue register'!$F$10:$F$49&gt;=H$8)*('Revenue register'!$F$10:$F$49&lt;=H$9)*'Revenue register'!$E$10:$E$49)</f>
        <v>0</v>
      </c>
      <c r="I15" s="36">
        <f>-SUMPRODUCT(('Revenue register'!$D$10:$D$49="Contraction")*('Revenue register'!$F$10:$F$49&gt;=I$8)*('Revenue register'!$F$10:$F$49&lt;=I$9)*'Revenue register'!$E$10:$E$49)</f>
        <v>0</v>
      </c>
      <c r="J15" s="36">
        <f>-SUMPRODUCT(('Revenue register'!$D$10:$D$49="Contraction")*('Revenue register'!$F$10:$F$49&gt;=J$8)*('Revenue register'!$F$10:$F$49&lt;=J$9)*'Revenue register'!$E$10:$E$49)</f>
        <v>0</v>
      </c>
      <c r="K15" s="36">
        <f>-SUMPRODUCT(('Revenue register'!$D$10:$D$49="Contraction")*('Revenue register'!$F$10:$F$49&gt;=K$8)*('Revenue register'!$F$10:$F$49&lt;=K$9)*'Revenue register'!$E$10:$E$49)</f>
        <v>0</v>
      </c>
      <c r="L15" s="36">
        <f>-SUMPRODUCT(('Revenue register'!$D$10:$D$49="Contraction")*('Revenue register'!$F$10:$F$49&gt;=L$8)*('Revenue register'!$F$10:$F$49&lt;=L$9)*'Revenue register'!$E$10:$E$49)</f>
        <v>0</v>
      </c>
      <c r="M15" s="36">
        <f>-SUMPRODUCT(('Revenue register'!$D$10:$D$49="Contraction")*('Revenue register'!$F$10:$F$49&gt;=M$8)*('Revenue register'!$F$10:$F$49&lt;=M$9)*'Revenue register'!$E$10:$E$49)</f>
        <v>0</v>
      </c>
      <c r="N15" s="36">
        <f>-SUMPRODUCT(('Revenue register'!$D$10:$D$49="Contraction")*('Revenue register'!$F$10:$F$49&gt;=N$8)*('Revenue register'!$F$10:$F$49&lt;=N$9)*'Revenue register'!$E$10:$E$49)</f>
        <v>0</v>
      </c>
      <c r="O15" s="36">
        <f>-SUMPRODUCT(('Revenue register'!$D$10:$D$49="Contraction")*('Revenue register'!$F$10:$F$49&gt;=O$8)*('Revenue register'!$F$10:$F$49&lt;=O$9)*'Revenue register'!$E$10:$E$49)</f>
        <v>0</v>
      </c>
      <c r="P15" s="36">
        <f>-SUMPRODUCT(('Revenue register'!$D$10:$D$49="Contraction")*('Revenue register'!$F$10:$F$49&gt;=P$8)*('Revenue register'!$F$10:$F$49&lt;=P$9)*'Revenue register'!$E$10:$E$49)</f>
        <v>0</v>
      </c>
      <c r="Q15" s="36">
        <f>-SUMPRODUCT(('Revenue register'!$D$10:$D$49="Contraction")*('Revenue register'!$F$10:$F$49&gt;=Q$8)*('Revenue register'!$F$10:$F$49&lt;=Q$9)*'Revenue register'!$E$10:$E$49)</f>
        <v>0</v>
      </c>
      <c r="R15" s="36">
        <f>-SUMPRODUCT(('Revenue register'!$D$10:$D$49="Contraction")*('Revenue register'!$F$10:$F$49&gt;=R$8)*('Revenue register'!$F$10:$F$49&lt;=R$9)*'Revenue register'!$E$10:$E$49)</f>
        <v>0</v>
      </c>
      <c r="S15" s="36">
        <f>-SUMPRODUCT(('Revenue register'!$D$10:$D$49="Contraction")*('Revenue register'!$F$10:$F$49&gt;=S$8)*('Revenue register'!$F$10:$F$49&lt;=S$9)*'Revenue register'!$E$10:$E$49)</f>
        <v>0</v>
      </c>
      <c r="T15" s="36">
        <f>-SUMPRODUCT(('Revenue register'!$D$10:$D$49="Contraction")*('Revenue register'!$F$10:$F$49&gt;=T$8)*('Revenue register'!$F$10:$F$49&lt;=T$9)*'Revenue register'!$E$10:$E$49)</f>
        <v>0</v>
      </c>
      <c r="U15" s="36">
        <f>-SUMPRODUCT(('Revenue register'!$D$10:$D$49="Contraction")*('Revenue register'!$F$10:$F$49&gt;=U$8)*('Revenue register'!$F$10:$F$49&lt;=U$9)*'Revenue register'!$E$10:$E$49)</f>
        <v>0</v>
      </c>
      <c r="V15" s="36">
        <f>-SUMPRODUCT(('Revenue register'!$D$10:$D$49="Contraction")*('Revenue register'!$F$10:$F$49&gt;=V$8)*('Revenue register'!$F$10:$F$49&lt;=V$9)*'Revenue register'!$E$10:$E$49)</f>
        <v>0</v>
      </c>
      <c r="W15" s="36">
        <f>-SUMPRODUCT(('Revenue register'!$D$10:$D$49="Contraction")*('Revenue register'!$F$10:$F$49&gt;=W$8)*('Revenue register'!$F$10:$F$49&lt;=W$9)*'Revenue register'!$E$10:$E$49)</f>
        <v>0</v>
      </c>
      <c r="X15" s="36">
        <f>-SUMPRODUCT(('Revenue register'!$D$10:$D$49="Contraction")*('Revenue register'!$F$10:$F$49&gt;=X$8)*('Revenue register'!$F$10:$F$49&lt;=X$9)*'Revenue register'!$E$10:$E$49)</f>
        <v>0</v>
      </c>
      <c r="Y15" s="36">
        <f>-SUMPRODUCT(('Revenue register'!$D$10:$D$49="Contraction")*('Revenue register'!$F$10:$F$49&gt;=Y$8)*('Revenue register'!$F$10:$F$49&lt;=Y$9)*'Revenue register'!$E$10:$E$49)</f>
        <v>0</v>
      </c>
      <c r="Z15" s="36">
        <f>-SUMPRODUCT(('Revenue register'!$D$10:$D$49="Contraction")*('Revenue register'!$F$10:$F$49&gt;=Z$8)*('Revenue register'!$F$10:$F$49&lt;=Z$9)*'Revenue register'!$E$10:$E$49)</f>
        <v>0</v>
      </c>
    </row>
    <row r="16">
      <c r="B16" s="22" t="s">
        <v>173</v>
      </c>
      <c r="C16" s="36">
        <f>-MAX(0,SUMPRODUCT((('Revenue register'!$D$10:$D$49="Recurring")+('Revenue register'!$D$10:$D$49="Renewal")+('Revenue register'!$D$10:$D$49="Expansion"))*('Revenue register'!$G$10:$G$49&gt;=C$10-DAY(C$10)+1)*('Revenue register'!$G$10:$G$49&lt;=C$10)*'Revenue register'!$E$10:$E$49)-SUMPRODUCT(('Revenue register'!$D$10:$D$49="Renewal")*('Revenue register'!$F$10:$F$49&gt;=C$8)*('Revenue register'!$F$10:$F$49&lt;=C$9)*'Revenue register'!$E$10:$E$49))</f>
        <v>0</v>
      </c>
      <c r="D16" s="36">
        <f>-MAX(0,SUMPRODUCT((('Revenue register'!$D$10:$D$49="Recurring")+('Revenue register'!$D$10:$D$49="Renewal")+('Revenue register'!$D$10:$D$49="Expansion"))*('Revenue register'!$G$10:$G$49&gt;=D$10-DAY(D$10)+1)*('Revenue register'!$G$10:$G$49&lt;=D$10)*'Revenue register'!$E$10:$E$49)-SUMPRODUCT(('Revenue register'!$D$10:$D$49="Renewal")*('Revenue register'!$F$10:$F$49&gt;=D$8)*('Revenue register'!$F$10:$F$49&lt;=D$9)*'Revenue register'!$E$10:$E$49))</f>
        <v>0</v>
      </c>
      <c r="E16" s="36">
        <f>-MAX(0,SUMPRODUCT((('Revenue register'!$D$10:$D$49="Recurring")+('Revenue register'!$D$10:$D$49="Renewal")+('Revenue register'!$D$10:$D$49="Expansion"))*('Revenue register'!$G$10:$G$49&gt;=E$10-DAY(E$10)+1)*('Revenue register'!$G$10:$G$49&lt;=E$10)*'Revenue register'!$E$10:$E$49)-SUMPRODUCT(('Revenue register'!$D$10:$D$49="Renewal")*('Revenue register'!$F$10:$F$49&gt;=E$8)*('Revenue register'!$F$10:$F$49&lt;=E$9)*'Revenue register'!$E$10:$E$49))</f>
        <v>0</v>
      </c>
      <c r="F16" s="36">
        <f>-MAX(0,SUMPRODUCT((('Revenue register'!$D$10:$D$49="Recurring")+('Revenue register'!$D$10:$D$49="Renewal")+('Revenue register'!$D$10:$D$49="Expansion"))*('Revenue register'!$G$10:$G$49&gt;=F$10-DAY(F$10)+1)*('Revenue register'!$G$10:$G$49&lt;=F$10)*'Revenue register'!$E$10:$E$49)-SUMPRODUCT(('Revenue register'!$D$10:$D$49="Renewal")*('Revenue register'!$F$10:$F$49&gt;=F$8)*('Revenue register'!$F$10:$F$49&lt;=F$9)*'Revenue register'!$E$10:$E$49))</f>
        <v>0</v>
      </c>
      <c r="G16" s="36">
        <f>-MAX(0,SUMPRODUCT((('Revenue register'!$D$10:$D$49="Recurring")+('Revenue register'!$D$10:$D$49="Renewal")+('Revenue register'!$D$10:$D$49="Expansion"))*('Revenue register'!$G$10:$G$49&gt;=G$10-DAY(G$10)+1)*('Revenue register'!$G$10:$G$49&lt;=G$10)*'Revenue register'!$E$10:$E$49)-SUMPRODUCT(('Revenue register'!$D$10:$D$49="Renewal")*('Revenue register'!$F$10:$F$49&gt;=G$8)*('Revenue register'!$F$10:$F$49&lt;=G$9)*'Revenue register'!$E$10:$E$49))</f>
        <v>0</v>
      </c>
      <c r="H16" s="36">
        <f>-MAX(0,SUMPRODUCT((('Revenue register'!$D$10:$D$49="Recurring")+('Revenue register'!$D$10:$D$49="Renewal")+('Revenue register'!$D$10:$D$49="Expansion"))*('Revenue register'!$G$10:$G$49&gt;=H$10-DAY(H$10)+1)*('Revenue register'!$G$10:$G$49&lt;=H$10)*'Revenue register'!$E$10:$E$49)-SUMPRODUCT(('Revenue register'!$D$10:$D$49="Renewal")*('Revenue register'!$F$10:$F$49&gt;=H$8)*('Revenue register'!$F$10:$F$49&lt;=H$9)*'Revenue register'!$E$10:$E$49))</f>
        <v>0</v>
      </c>
      <c r="I16" s="36">
        <f>-MAX(0,SUMPRODUCT((('Revenue register'!$D$10:$D$49="Recurring")+('Revenue register'!$D$10:$D$49="Renewal")+('Revenue register'!$D$10:$D$49="Expansion"))*('Revenue register'!$G$10:$G$49&gt;=I$10-DAY(I$10)+1)*('Revenue register'!$G$10:$G$49&lt;=I$10)*'Revenue register'!$E$10:$E$49)-SUMPRODUCT(('Revenue register'!$D$10:$D$49="Renewal")*('Revenue register'!$F$10:$F$49&gt;=I$8)*('Revenue register'!$F$10:$F$49&lt;=I$9)*'Revenue register'!$E$10:$E$49))</f>
        <v>0</v>
      </c>
      <c r="J16" s="36">
        <f>-MAX(0,SUMPRODUCT((('Revenue register'!$D$10:$D$49="Recurring")+('Revenue register'!$D$10:$D$49="Renewal")+('Revenue register'!$D$10:$D$49="Expansion"))*('Revenue register'!$G$10:$G$49&gt;=J$10-DAY(J$10)+1)*('Revenue register'!$G$10:$G$49&lt;=J$10)*'Revenue register'!$E$10:$E$49)-SUMPRODUCT(('Revenue register'!$D$10:$D$49="Renewal")*('Revenue register'!$F$10:$F$49&gt;=J$8)*('Revenue register'!$F$10:$F$49&lt;=J$9)*'Revenue register'!$E$10:$E$49))</f>
        <v>0</v>
      </c>
      <c r="K16" s="36">
        <f>-MAX(0,SUMPRODUCT((('Revenue register'!$D$10:$D$49="Recurring")+('Revenue register'!$D$10:$D$49="Renewal")+('Revenue register'!$D$10:$D$49="Expansion"))*('Revenue register'!$G$10:$G$49&gt;=K$10-DAY(K$10)+1)*('Revenue register'!$G$10:$G$49&lt;=K$10)*'Revenue register'!$E$10:$E$49)-SUMPRODUCT(('Revenue register'!$D$10:$D$49="Renewal")*('Revenue register'!$F$10:$F$49&gt;=K$8)*('Revenue register'!$F$10:$F$49&lt;=K$9)*'Revenue register'!$E$10:$E$49))</f>
        <v>0</v>
      </c>
      <c r="L16" s="36">
        <f>-MAX(0,SUMPRODUCT((('Revenue register'!$D$10:$D$49="Recurring")+('Revenue register'!$D$10:$D$49="Renewal")+('Revenue register'!$D$10:$D$49="Expansion"))*('Revenue register'!$G$10:$G$49&gt;=L$10-DAY(L$10)+1)*('Revenue register'!$G$10:$G$49&lt;=L$10)*'Revenue register'!$E$10:$E$49)-SUMPRODUCT(('Revenue register'!$D$10:$D$49="Renewal")*('Revenue register'!$F$10:$F$49&gt;=L$8)*('Revenue register'!$F$10:$F$49&lt;=L$9)*'Revenue register'!$E$10:$E$49))</f>
        <v>0</v>
      </c>
      <c r="M16" s="36">
        <f>-MAX(0,SUMPRODUCT((('Revenue register'!$D$10:$D$49="Recurring")+('Revenue register'!$D$10:$D$49="Renewal")+('Revenue register'!$D$10:$D$49="Expansion"))*('Revenue register'!$G$10:$G$49&gt;=M$10-DAY(M$10)+1)*('Revenue register'!$G$10:$G$49&lt;=M$10)*'Revenue register'!$E$10:$E$49)-SUMPRODUCT(('Revenue register'!$D$10:$D$49="Renewal")*('Revenue register'!$F$10:$F$49&gt;=M$8)*('Revenue register'!$F$10:$F$49&lt;=M$9)*'Revenue register'!$E$10:$E$49))</f>
        <v>0</v>
      </c>
      <c r="N16" s="36">
        <f>-MAX(0,SUMPRODUCT((('Revenue register'!$D$10:$D$49="Recurring")+('Revenue register'!$D$10:$D$49="Renewal")+('Revenue register'!$D$10:$D$49="Expansion"))*('Revenue register'!$G$10:$G$49&gt;=N$10-DAY(N$10)+1)*('Revenue register'!$G$10:$G$49&lt;=N$10)*'Revenue register'!$E$10:$E$49)-SUMPRODUCT(('Revenue register'!$D$10:$D$49="Renewal")*('Revenue register'!$F$10:$F$49&gt;=N$8)*('Revenue register'!$F$10:$F$49&lt;=N$9)*'Revenue register'!$E$10:$E$49))</f>
        <v>-20000</v>
      </c>
      <c r="O16" s="36">
        <f>-MAX(0,SUMPRODUCT((('Revenue register'!$D$10:$D$49="Recurring")+('Revenue register'!$D$10:$D$49="Renewal")+('Revenue register'!$D$10:$D$49="Expansion"))*('Revenue register'!$G$10:$G$49&gt;=O$10-DAY(O$10)+1)*('Revenue register'!$G$10:$G$49&lt;=O$10)*'Revenue register'!$E$10:$E$49)-SUMPRODUCT(('Revenue register'!$D$10:$D$49="Renewal")*('Revenue register'!$F$10:$F$49&gt;=O$8)*('Revenue register'!$F$10:$F$49&lt;=O$9)*'Revenue register'!$E$10:$E$49))</f>
        <v>0</v>
      </c>
      <c r="P16" s="36">
        <f>-MAX(0,SUMPRODUCT((('Revenue register'!$D$10:$D$49="Recurring")+('Revenue register'!$D$10:$D$49="Renewal")+('Revenue register'!$D$10:$D$49="Expansion"))*('Revenue register'!$G$10:$G$49&gt;=P$10-DAY(P$10)+1)*('Revenue register'!$G$10:$G$49&lt;=P$10)*'Revenue register'!$E$10:$E$49)-SUMPRODUCT(('Revenue register'!$D$10:$D$49="Renewal")*('Revenue register'!$F$10:$F$49&gt;=P$8)*('Revenue register'!$F$10:$F$49&lt;=P$9)*'Revenue register'!$E$10:$E$49))</f>
        <v>0</v>
      </c>
      <c r="Q16" s="36">
        <f>-MAX(0,SUMPRODUCT((('Revenue register'!$D$10:$D$49="Recurring")+('Revenue register'!$D$10:$D$49="Renewal")+('Revenue register'!$D$10:$D$49="Expansion"))*('Revenue register'!$G$10:$G$49&gt;=Q$10-DAY(Q$10)+1)*('Revenue register'!$G$10:$G$49&lt;=Q$10)*'Revenue register'!$E$10:$E$49)-SUMPRODUCT(('Revenue register'!$D$10:$D$49="Renewal")*('Revenue register'!$F$10:$F$49&gt;=Q$8)*('Revenue register'!$F$10:$F$49&lt;=Q$9)*'Revenue register'!$E$10:$E$49))</f>
        <v>-60000</v>
      </c>
      <c r="R16" s="36">
        <f>-MAX(0,SUMPRODUCT((('Revenue register'!$D$10:$D$49="Recurring")+('Revenue register'!$D$10:$D$49="Renewal")+('Revenue register'!$D$10:$D$49="Expansion"))*('Revenue register'!$G$10:$G$49&gt;=R$10-DAY(R$10)+1)*('Revenue register'!$G$10:$G$49&lt;=R$10)*'Revenue register'!$E$10:$E$49)-SUMPRODUCT(('Revenue register'!$D$10:$D$49="Renewal")*('Revenue register'!$F$10:$F$49&gt;=R$8)*('Revenue register'!$F$10:$F$49&lt;=R$9)*'Revenue register'!$E$10:$E$49))</f>
        <v>-85000</v>
      </c>
      <c r="S16" s="36">
        <f>-MAX(0,SUMPRODUCT((('Revenue register'!$D$10:$D$49="Recurring")+('Revenue register'!$D$10:$D$49="Renewal")+('Revenue register'!$D$10:$D$49="Expansion"))*('Revenue register'!$G$10:$G$49&gt;=S$10-DAY(S$10)+1)*('Revenue register'!$G$10:$G$49&lt;=S$10)*'Revenue register'!$E$10:$E$49)-SUMPRODUCT(('Revenue register'!$D$10:$D$49="Renewal")*('Revenue register'!$F$10:$F$49&gt;=S$8)*('Revenue register'!$F$10:$F$49&lt;=S$9)*'Revenue register'!$E$10:$E$49))</f>
        <v>-45000</v>
      </c>
      <c r="T16" s="36">
        <f>-MAX(0,SUMPRODUCT((('Revenue register'!$D$10:$D$49="Recurring")+('Revenue register'!$D$10:$D$49="Renewal")+('Revenue register'!$D$10:$D$49="Expansion"))*('Revenue register'!$G$10:$G$49&gt;=T$10-DAY(T$10)+1)*('Revenue register'!$G$10:$G$49&lt;=T$10)*'Revenue register'!$E$10:$E$49)-SUMPRODUCT(('Revenue register'!$D$10:$D$49="Renewal")*('Revenue register'!$F$10:$F$49&gt;=T$8)*('Revenue register'!$F$10:$F$49&lt;=T$9)*'Revenue register'!$E$10:$E$49))</f>
        <v>-85000</v>
      </c>
      <c r="U16" s="36">
        <f>-MAX(0,SUMPRODUCT((('Revenue register'!$D$10:$D$49="Recurring")+('Revenue register'!$D$10:$D$49="Renewal")+('Revenue register'!$D$10:$D$49="Expansion"))*('Revenue register'!$G$10:$G$49&gt;=U$10-DAY(U$10)+1)*('Revenue register'!$G$10:$G$49&lt;=U$10)*'Revenue register'!$E$10:$E$49)-SUMPRODUCT(('Revenue register'!$D$10:$D$49="Renewal")*('Revenue register'!$F$10:$F$49&gt;=U$8)*('Revenue register'!$F$10:$F$49&lt;=U$9)*'Revenue register'!$E$10:$E$49))</f>
        <v>-30000</v>
      </c>
      <c r="V16" s="36">
        <f>-MAX(0,SUMPRODUCT((('Revenue register'!$D$10:$D$49="Recurring")+('Revenue register'!$D$10:$D$49="Renewal")+('Revenue register'!$D$10:$D$49="Expansion"))*('Revenue register'!$G$10:$G$49&gt;=V$10-DAY(V$10)+1)*('Revenue register'!$G$10:$G$49&lt;=V$10)*'Revenue register'!$E$10:$E$49)-SUMPRODUCT(('Revenue register'!$D$10:$D$49="Renewal")*('Revenue register'!$F$10:$F$49&gt;=V$8)*('Revenue register'!$F$10:$F$49&lt;=V$9)*'Revenue register'!$E$10:$E$49))</f>
        <v>-80000</v>
      </c>
      <c r="W16" s="36">
        <f>-MAX(0,SUMPRODUCT((('Revenue register'!$D$10:$D$49="Recurring")+('Revenue register'!$D$10:$D$49="Renewal")+('Revenue register'!$D$10:$D$49="Expansion"))*('Revenue register'!$G$10:$G$49&gt;=W$10-DAY(W$10)+1)*('Revenue register'!$G$10:$G$49&lt;=W$10)*'Revenue register'!$E$10:$E$49)-SUMPRODUCT(('Revenue register'!$D$10:$D$49="Renewal")*('Revenue register'!$F$10:$F$49&gt;=W$8)*('Revenue register'!$F$10:$F$49&lt;=W$9)*'Revenue register'!$E$10:$E$49))</f>
        <v>-45000</v>
      </c>
      <c r="X16" s="36">
        <f>-MAX(0,SUMPRODUCT((('Revenue register'!$D$10:$D$49="Recurring")+('Revenue register'!$D$10:$D$49="Renewal")+('Revenue register'!$D$10:$D$49="Expansion"))*('Revenue register'!$G$10:$G$49&gt;=X$10-DAY(X$10)+1)*('Revenue register'!$G$10:$G$49&lt;=X$10)*'Revenue register'!$E$10:$E$49)-SUMPRODUCT(('Revenue register'!$D$10:$D$49="Renewal")*('Revenue register'!$F$10:$F$49&gt;=X$8)*('Revenue register'!$F$10:$F$49&lt;=X$9)*'Revenue register'!$E$10:$E$49))</f>
        <v>-60000</v>
      </c>
      <c r="Y16" s="36">
        <f>-MAX(0,SUMPRODUCT((('Revenue register'!$D$10:$D$49="Recurring")+('Revenue register'!$D$10:$D$49="Renewal")+('Revenue register'!$D$10:$D$49="Expansion"))*('Revenue register'!$G$10:$G$49&gt;=Y$10-DAY(Y$10)+1)*('Revenue register'!$G$10:$G$49&lt;=Y$10)*'Revenue register'!$E$10:$E$49)-SUMPRODUCT(('Revenue register'!$D$10:$D$49="Renewal")*('Revenue register'!$F$10:$F$49&gt;=Y$8)*('Revenue register'!$F$10:$F$49&lt;=Y$9)*'Revenue register'!$E$10:$E$49))</f>
        <v>-60000</v>
      </c>
      <c r="Z16" s="36">
        <f>-MAX(0,SUMPRODUCT((('Revenue register'!$D$10:$D$49="Recurring")+('Revenue register'!$D$10:$D$49="Renewal")+('Revenue register'!$D$10:$D$49="Expansion"))*('Revenue register'!$G$10:$G$49&gt;=Z$10-DAY(Z$10)+1)*('Revenue register'!$G$10:$G$49&lt;=Z$10)*'Revenue register'!$E$10:$E$49)-SUMPRODUCT(('Revenue register'!$D$10:$D$49="Renewal")*('Revenue register'!$F$10:$F$49&gt;=Z$8)*('Revenue register'!$F$10:$F$49&lt;=Z$9)*'Revenue register'!$E$10:$E$49))</f>
        <v>-50000</v>
      </c>
    </row>
    <row r="17">
      <c r="B17" s="32" t="s">
        <v>182</v>
      </c>
      <c r="C17" s="34">
        <f t="shared" ref="C17:Z17" si="5">SUM(C12:C16)</f>
        <v>150000</v>
      </c>
      <c r="D17" s="34">
        <f t="shared" si="5"/>
        <v>150000</v>
      </c>
      <c r="E17" s="34">
        <f t="shared" si="5"/>
        <v>210000</v>
      </c>
      <c r="F17" s="34">
        <f t="shared" si="5"/>
        <v>245000</v>
      </c>
      <c r="G17" s="34">
        <f t="shared" si="5"/>
        <v>290000</v>
      </c>
      <c r="H17" s="34">
        <f t="shared" si="5"/>
        <v>340000</v>
      </c>
      <c r="I17" s="34">
        <f t="shared" si="5"/>
        <v>370000</v>
      </c>
      <c r="J17" s="34">
        <f t="shared" si="5"/>
        <v>420000</v>
      </c>
      <c r="K17" s="34">
        <f t="shared" si="5"/>
        <v>465000</v>
      </c>
      <c r="L17" s="34">
        <f t="shared" si="5"/>
        <v>500000</v>
      </c>
      <c r="M17" s="34">
        <f t="shared" si="5"/>
        <v>560000</v>
      </c>
      <c r="N17" s="34">
        <f t="shared" si="5"/>
        <v>600000</v>
      </c>
      <c r="O17" s="34">
        <f t="shared" si="5"/>
        <v>600000</v>
      </c>
      <c r="P17" s="34">
        <f t="shared" si="5"/>
        <v>600000</v>
      </c>
      <c r="Q17" s="34">
        <f t="shared" si="5"/>
        <v>540000</v>
      </c>
      <c r="R17" s="34">
        <f t="shared" si="5"/>
        <v>455000</v>
      </c>
      <c r="S17" s="34">
        <f t="shared" si="5"/>
        <v>410000</v>
      </c>
      <c r="T17" s="34">
        <f t="shared" si="5"/>
        <v>325000</v>
      </c>
      <c r="U17" s="34">
        <f t="shared" si="5"/>
        <v>295000</v>
      </c>
      <c r="V17" s="34">
        <f t="shared" si="5"/>
        <v>215000</v>
      </c>
      <c r="W17" s="34">
        <f t="shared" si="5"/>
        <v>170000</v>
      </c>
      <c r="X17" s="34">
        <f t="shared" si="5"/>
        <v>110000</v>
      </c>
      <c r="Y17" s="34">
        <f t="shared" si="5"/>
        <v>50000</v>
      </c>
      <c r="Z17" s="34">
        <f t="shared" si="5"/>
        <v>0</v>
      </c>
    </row>
    <row r="18">
      <c r="B18" s="25" t="s">
        <v>183</v>
      </c>
      <c r="C18" s="46">
        <f>SUMPRODUCT((('Revenue register'!$D$10:$D$49="Recurring")+('Revenue register'!$D$10:$D$49="Renewal")+('Revenue register'!$D$10:$D$49="Expansion"))*('Revenue register'!$F$10:$F$49&lt;=C$9)*('Revenue register'!$G$10:$G$49&gt;=C$9)*'Revenue register'!$E$10:$E$49)-SUMPRODUCT(('Revenue register'!$D$10:$D$49="Contraction")*('Revenue register'!$F$10:$F$49&lt;=C$9)*('Revenue register'!$G$10:$G$49&gt;=C$9)*'Revenue register'!$E$10:$E$49)</f>
        <v>150000</v>
      </c>
      <c r="D18" s="46">
        <f>SUMPRODUCT((('Revenue register'!$D$10:$D$49="Recurring")+('Revenue register'!$D$10:$D$49="Renewal")+('Revenue register'!$D$10:$D$49="Expansion"))*('Revenue register'!$F$10:$F$49&lt;=D$9)*('Revenue register'!$G$10:$G$49&gt;=D$9)*'Revenue register'!$E$10:$E$49)-SUMPRODUCT(('Revenue register'!$D$10:$D$49="Contraction")*('Revenue register'!$F$10:$F$49&lt;=D$9)*('Revenue register'!$G$10:$G$49&gt;=D$9)*'Revenue register'!$E$10:$E$49)</f>
        <v>150000</v>
      </c>
      <c r="E18" s="46">
        <f>SUMPRODUCT((('Revenue register'!$D$10:$D$49="Recurring")+('Revenue register'!$D$10:$D$49="Renewal")+('Revenue register'!$D$10:$D$49="Expansion"))*('Revenue register'!$F$10:$F$49&lt;=E$9)*('Revenue register'!$G$10:$G$49&gt;=E$9)*'Revenue register'!$E$10:$E$49)-SUMPRODUCT(('Revenue register'!$D$10:$D$49="Contraction")*('Revenue register'!$F$10:$F$49&lt;=E$9)*('Revenue register'!$G$10:$G$49&gt;=E$9)*'Revenue register'!$E$10:$E$49)</f>
        <v>210000</v>
      </c>
      <c r="F18" s="46">
        <f>SUMPRODUCT((('Revenue register'!$D$10:$D$49="Recurring")+('Revenue register'!$D$10:$D$49="Renewal")+('Revenue register'!$D$10:$D$49="Expansion"))*('Revenue register'!$F$10:$F$49&lt;=F$9)*('Revenue register'!$G$10:$G$49&gt;=F$9)*'Revenue register'!$E$10:$E$49)-SUMPRODUCT(('Revenue register'!$D$10:$D$49="Contraction")*('Revenue register'!$F$10:$F$49&lt;=F$9)*('Revenue register'!$G$10:$G$49&gt;=F$9)*'Revenue register'!$E$10:$E$49)</f>
        <v>245000</v>
      </c>
      <c r="G18" s="46">
        <f>SUMPRODUCT((('Revenue register'!$D$10:$D$49="Recurring")+('Revenue register'!$D$10:$D$49="Renewal")+('Revenue register'!$D$10:$D$49="Expansion"))*('Revenue register'!$F$10:$F$49&lt;=G$9)*('Revenue register'!$G$10:$G$49&gt;=G$9)*'Revenue register'!$E$10:$E$49)-SUMPRODUCT(('Revenue register'!$D$10:$D$49="Contraction")*('Revenue register'!$F$10:$F$49&lt;=G$9)*('Revenue register'!$G$10:$G$49&gt;=G$9)*'Revenue register'!$E$10:$E$49)</f>
        <v>290000</v>
      </c>
      <c r="H18" s="46">
        <f>SUMPRODUCT((('Revenue register'!$D$10:$D$49="Recurring")+('Revenue register'!$D$10:$D$49="Renewal")+('Revenue register'!$D$10:$D$49="Expansion"))*('Revenue register'!$F$10:$F$49&lt;=H$9)*('Revenue register'!$G$10:$G$49&gt;=H$9)*'Revenue register'!$E$10:$E$49)-SUMPRODUCT(('Revenue register'!$D$10:$D$49="Contraction")*('Revenue register'!$F$10:$F$49&lt;=H$9)*('Revenue register'!$G$10:$G$49&gt;=H$9)*'Revenue register'!$E$10:$E$49)</f>
        <v>340000</v>
      </c>
      <c r="I18" s="46">
        <f>SUMPRODUCT((('Revenue register'!$D$10:$D$49="Recurring")+('Revenue register'!$D$10:$D$49="Renewal")+('Revenue register'!$D$10:$D$49="Expansion"))*('Revenue register'!$F$10:$F$49&lt;=I$9)*('Revenue register'!$G$10:$G$49&gt;=I$9)*'Revenue register'!$E$10:$E$49)-SUMPRODUCT(('Revenue register'!$D$10:$D$49="Contraction")*('Revenue register'!$F$10:$F$49&lt;=I$9)*('Revenue register'!$G$10:$G$49&gt;=I$9)*'Revenue register'!$E$10:$E$49)</f>
        <v>370000</v>
      </c>
      <c r="J18" s="46">
        <f>SUMPRODUCT((('Revenue register'!$D$10:$D$49="Recurring")+('Revenue register'!$D$10:$D$49="Renewal")+('Revenue register'!$D$10:$D$49="Expansion"))*('Revenue register'!$F$10:$F$49&lt;=J$9)*('Revenue register'!$G$10:$G$49&gt;=J$9)*'Revenue register'!$E$10:$E$49)-SUMPRODUCT(('Revenue register'!$D$10:$D$49="Contraction")*('Revenue register'!$F$10:$F$49&lt;=J$9)*('Revenue register'!$G$10:$G$49&gt;=J$9)*'Revenue register'!$E$10:$E$49)</f>
        <v>420000</v>
      </c>
      <c r="K18" s="46">
        <f>SUMPRODUCT((('Revenue register'!$D$10:$D$49="Recurring")+('Revenue register'!$D$10:$D$49="Renewal")+('Revenue register'!$D$10:$D$49="Expansion"))*('Revenue register'!$F$10:$F$49&lt;=K$9)*('Revenue register'!$G$10:$G$49&gt;=K$9)*'Revenue register'!$E$10:$E$49)-SUMPRODUCT(('Revenue register'!$D$10:$D$49="Contraction")*('Revenue register'!$F$10:$F$49&lt;=K$9)*('Revenue register'!$G$10:$G$49&gt;=K$9)*'Revenue register'!$E$10:$E$49)</f>
        <v>465000</v>
      </c>
      <c r="L18" s="46">
        <f>SUMPRODUCT((('Revenue register'!$D$10:$D$49="Recurring")+('Revenue register'!$D$10:$D$49="Renewal")+('Revenue register'!$D$10:$D$49="Expansion"))*('Revenue register'!$F$10:$F$49&lt;=L$9)*('Revenue register'!$G$10:$G$49&gt;=L$9)*'Revenue register'!$E$10:$E$49)-SUMPRODUCT(('Revenue register'!$D$10:$D$49="Contraction")*('Revenue register'!$F$10:$F$49&lt;=L$9)*('Revenue register'!$G$10:$G$49&gt;=L$9)*'Revenue register'!$E$10:$E$49)</f>
        <v>500000</v>
      </c>
      <c r="M18" s="46">
        <f>SUMPRODUCT((('Revenue register'!$D$10:$D$49="Recurring")+('Revenue register'!$D$10:$D$49="Renewal")+('Revenue register'!$D$10:$D$49="Expansion"))*('Revenue register'!$F$10:$F$49&lt;=M$9)*('Revenue register'!$G$10:$G$49&gt;=M$9)*'Revenue register'!$E$10:$E$49)-SUMPRODUCT(('Revenue register'!$D$10:$D$49="Contraction")*('Revenue register'!$F$10:$F$49&lt;=M$9)*('Revenue register'!$G$10:$G$49&gt;=M$9)*'Revenue register'!$E$10:$E$49)</f>
        <v>560000</v>
      </c>
      <c r="N18" s="46">
        <f>SUMPRODUCT((('Revenue register'!$D$10:$D$49="Recurring")+('Revenue register'!$D$10:$D$49="Renewal")+('Revenue register'!$D$10:$D$49="Expansion"))*('Revenue register'!$F$10:$F$49&lt;=N$9)*('Revenue register'!$G$10:$G$49&gt;=N$9)*'Revenue register'!$E$10:$E$49)-SUMPRODUCT(('Revenue register'!$D$10:$D$49="Contraction")*('Revenue register'!$F$10:$F$49&lt;=N$9)*('Revenue register'!$G$10:$G$49&gt;=N$9)*'Revenue register'!$E$10:$E$49)</f>
        <v>600000</v>
      </c>
      <c r="O18" s="46">
        <f>SUMPRODUCT((('Revenue register'!$D$10:$D$49="Recurring")+('Revenue register'!$D$10:$D$49="Renewal")+('Revenue register'!$D$10:$D$49="Expansion"))*('Revenue register'!$F$10:$F$49&lt;=O$9)*('Revenue register'!$G$10:$G$49&gt;=O$9)*'Revenue register'!$E$10:$E$49)-SUMPRODUCT(('Revenue register'!$D$10:$D$49="Contraction")*('Revenue register'!$F$10:$F$49&lt;=O$9)*('Revenue register'!$G$10:$G$49&gt;=O$9)*'Revenue register'!$E$10:$E$49)</f>
        <v>600000</v>
      </c>
      <c r="P18" s="46">
        <f>SUMPRODUCT((('Revenue register'!$D$10:$D$49="Recurring")+('Revenue register'!$D$10:$D$49="Renewal")+('Revenue register'!$D$10:$D$49="Expansion"))*('Revenue register'!$F$10:$F$49&lt;=P$9)*('Revenue register'!$G$10:$G$49&gt;=P$9)*'Revenue register'!$E$10:$E$49)-SUMPRODUCT(('Revenue register'!$D$10:$D$49="Contraction")*('Revenue register'!$F$10:$F$49&lt;=P$9)*('Revenue register'!$G$10:$G$49&gt;=P$9)*'Revenue register'!$E$10:$E$49)</f>
        <v>600000</v>
      </c>
      <c r="Q18" s="46">
        <f>SUMPRODUCT((('Revenue register'!$D$10:$D$49="Recurring")+('Revenue register'!$D$10:$D$49="Renewal")+('Revenue register'!$D$10:$D$49="Expansion"))*('Revenue register'!$F$10:$F$49&lt;=Q$9)*('Revenue register'!$G$10:$G$49&gt;=Q$9)*'Revenue register'!$E$10:$E$49)-SUMPRODUCT(('Revenue register'!$D$10:$D$49="Contraction")*('Revenue register'!$F$10:$F$49&lt;=Q$9)*('Revenue register'!$G$10:$G$49&gt;=Q$9)*'Revenue register'!$E$10:$E$49)</f>
        <v>540000</v>
      </c>
      <c r="R18" s="46">
        <f>SUMPRODUCT((('Revenue register'!$D$10:$D$49="Recurring")+('Revenue register'!$D$10:$D$49="Renewal")+('Revenue register'!$D$10:$D$49="Expansion"))*('Revenue register'!$F$10:$F$49&lt;=R$9)*('Revenue register'!$G$10:$G$49&gt;=R$9)*'Revenue register'!$E$10:$E$49)-SUMPRODUCT(('Revenue register'!$D$10:$D$49="Contraction")*('Revenue register'!$F$10:$F$49&lt;=R$9)*('Revenue register'!$G$10:$G$49&gt;=R$9)*'Revenue register'!$E$10:$E$49)</f>
        <v>455000</v>
      </c>
      <c r="S18" s="46">
        <f>SUMPRODUCT((('Revenue register'!$D$10:$D$49="Recurring")+('Revenue register'!$D$10:$D$49="Renewal")+('Revenue register'!$D$10:$D$49="Expansion"))*('Revenue register'!$F$10:$F$49&lt;=S$9)*('Revenue register'!$G$10:$G$49&gt;=S$9)*'Revenue register'!$E$10:$E$49)-SUMPRODUCT(('Revenue register'!$D$10:$D$49="Contraction")*('Revenue register'!$F$10:$F$49&lt;=S$9)*('Revenue register'!$G$10:$G$49&gt;=S$9)*'Revenue register'!$E$10:$E$49)</f>
        <v>410000</v>
      </c>
      <c r="T18" s="46">
        <f>SUMPRODUCT((('Revenue register'!$D$10:$D$49="Recurring")+('Revenue register'!$D$10:$D$49="Renewal")+('Revenue register'!$D$10:$D$49="Expansion"))*('Revenue register'!$F$10:$F$49&lt;=T$9)*('Revenue register'!$G$10:$G$49&gt;=T$9)*'Revenue register'!$E$10:$E$49)-SUMPRODUCT(('Revenue register'!$D$10:$D$49="Contraction")*('Revenue register'!$F$10:$F$49&lt;=T$9)*('Revenue register'!$G$10:$G$49&gt;=T$9)*'Revenue register'!$E$10:$E$49)</f>
        <v>325000</v>
      </c>
      <c r="U18" s="46">
        <f>SUMPRODUCT((('Revenue register'!$D$10:$D$49="Recurring")+('Revenue register'!$D$10:$D$49="Renewal")+('Revenue register'!$D$10:$D$49="Expansion"))*('Revenue register'!$F$10:$F$49&lt;=U$9)*('Revenue register'!$G$10:$G$49&gt;=U$9)*'Revenue register'!$E$10:$E$49)-SUMPRODUCT(('Revenue register'!$D$10:$D$49="Contraction")*('Revenue register'!$F$10:$F$49&lt;=U$9)*('Revenue register'!$G$10:$G$49&gt;=U$9)*'Revenue register'!$E$10:$E$49)</f>
        <v>295000</v>
      </c>
      <c r="V18" s="46">
        <f>SUMPRODUCT((('Revenue register'!$D$10:$D$49="Recurring")+('Revenue register'!$D$10:$D$49="Renewal")+('Revenue register'!$D$10:$D$49="Expansion"))*('Revenue register'!$F$10:$F$49&lt;=V$9)*('Revenue register'!$G$10:$G$49&gt;=V$9)*'Revenue register'!$E$10:$E$49)-SUMPRODUCT(('Revenue register'!$D$10:$D$49="Contraction")*('Revenue register'!$F$10:$F$49&lt;=V$9)*('Revenue register'!$G$10:$G$49&gt;=V$9)*'Revenue register'!$E$10:$E$49)</f>
        <v>215000</v>
      </c>
      <c r="W18" s="46">
        <f>SUMPRODUCT((('Revenue register'!$D$10:$D$49="Recurring")+('Revenue register'!$D$10:$D$49="Renewal")+('Revenue register'!$D$10:$D$49="Expansion"))*('Revenue register'!$F$10:$F$49&lt;=W$9)*('Revenue register'!$G$10:$G$49&gt;=W$9)*'Revenue register'!$E$10:$E$49)-SUMPRODUCT(('Revenue register'!$D$10:$D$49="Contraction")*('Revenue register'!$F$10:$F$49&lt;=W$9)*('Revenue register'!$G$10:$G$49&gt;=W$9)*'Revenue register'!$E$10:$E$49)</f>
        <v>170000</v>
      </c>
      <c r="X18" s="46">
        <f>SUMPRODUCT((('Revenue register'!$D$10:$D$49="Recurring")+('Revenue register'!$D$10:$D$49="Renewal")+('Revenue register'!$D$10:$D$49="Expansion"))*('Revenue register'!$F$10:$F$49&lt;=X$9)*('Revenue register'!$G$10:$G$49&gt;=X$9)*'Revenue register'!$E$10:$E$49)-SUMPRODUCT(('Revenue register'!$D$10:$D$49="Contraction")*('Revenue register'!$F$10:$F$49&lt;=X$9)*('Revenue register'!$G$10:$G$49&gt;=X$9)*'Revenue register'!$E$10:$E$49)</f>
        <v>110000</v>
      </c>
      <c r="Y18" s="46">
        <f>SUMPRODUCT((('Revenue register'!$D$10:$D$49="Recurring")+('Revenue register'!$D$10:$D$49="Renewal")+('Revenue register'!$D$10:$D$49="Expansion"))*('Revenue register'!$F$10:$F$49&lt;=Y$9)*('Revenue register'!$G$10:$G$49&gt;=Y$9)*'Revenue register'!$E$10:$E$49)-SUMPRODUCT(('Revenue register'!$D$10:$D$49="Contraction")*('Revenue register'!$F$10:$F$49&lt;=Y$9)*('Revenue register'!$G$10:$G$49&gt;=Y$9)*'Revenue register'!$E$10:$E$49)</f>
        <v>50000</v>
      </c>
      <c r="Z18" s="46">
        <f>SUMPRODUCT((('Revenue register'!$D$10:$D$49="Recurring")+('Revenue register'!$D$10:$D$49="Renewal")+('Revenue register'!$D$10:$D$49="Expansion"))*('Revenue register'!$F$10:$F$49&lt;=Z$9)*('Revenue register'!$G$10:$G$49&gt;=Z$9)*'Revenue register'!$E$10:$E$49)-SUMPRODUCT(('Revenue register'!$D$10:$D$49="Contraction")*('Revenue register'!$F$10:$F$49&lt;=Z$9)*('Revenue register'!$G$10:$G$49&gt;=Z$9)*'Revenue register'!$E$10:$E$49)</f>
        <v>0</v>
      </c>
    </row>
    <row r="19">
      <c r="B19" s="25" t="s">
        <v>184</v>
      </c>
      <c r="C19" s="46">
        <f t="shared" ref="C19:Z19" si="6">C17-C18</f>
        <v>0</v>
      </c>
      <c r="D19" s="46">
        <f t="shared" si="6"/>
        <v>0</v>
      </c>
      <c r="E19" s="46">
        <f t="shared" si="6"/>
        <v>0</v>
      </c>
      <c r="F19" s="46">
        <f t="shared" si="6"/>
        <v>0</v>
      </c>
      <c r="G19" s="46">
        <f t="shared" si="6"/>
        <v>0</v>
      </c>
      <c r="H19" s="46">
        <f t="shared" si="6"/>
        <v>0</v>
      </c>
      <c r="I19" s="46">
        <f t="shared" si="6"/>
        <v>0</v>
      </c>
      <c r="J19" s="46">
        <f t="shared" si="6"/>
        <v>0</v>
      </c>
      <c r="K19" s="46">
        <f t="shared" si="6"/>
        <v>0</v>
      </c>
      <c r="L19" s="46">
        <f t="shared" si="6"/>
        <v>0</v>
      </c>
      <c r="M19" s="46">
        <f t="shared" si="6"/>
        <v>0</v>
      </c>
      <c r="N19" s="46">
        <f t="shared" si="6"/>
        <v>0</v>
      </c>
      <c r="O19" s="46">
        <f t="shared" si="6"/>
        <v>0</v>
      </c>
      <c r="P19" s="46">
        <f t="shared" si="6"/>
        <v>0</v>
      </c>
      <c r="Q19" s="46">
        <f t="shared" si="6"/>
        <v>0</v>
      </c>
      <c r="R19" s="46">
        <f t="shared" si="6"/>
        <v>0</v>
      </c>
      <c r="S19" s="46">
        <f t="shared" si="6"/>
        <v>0</v>
      </c>
      <c r="T19" s="46">
        <f t="shared" si="6"/>
        <v>0</v>
      </c>
      <c r="U19" s="46">
        <f t="shared" si="6"/>
        <v>0</v>
      </c>
      <c r="V19" s="46">
        <f t="shared" si="6"/>
        <v>0</v>
      </c>
      <c r="W19" s="46">
        <f t="shared" si="6"/>
        <v>0</v>
      </c>
      <c r="X19" s="46">
        <f t="shared" si="6"/>
        <v>0</v>
      </c>
      <c r="Y19" s="46">
        <f t="shared" si="6"/>
        <v>0</v>
      </c>
      <c r="Z19" s="46">
        <f t="shared" si="6"/>
        <v>0</v>
      </c>
    </row>
    <row r="21" ht="15.75" customHeight="1">
      <c r="B21" s="22" t="s">
        <v>185</v>
      </c>
      <c r="C21" s="35">
        <f t="shared" ref="C21:Z21" si="7">IF(C12&gt;0,C17/C12-1,"–")</f>
        <v>0</v>
      </c>
      <c r="D21" s="35">
        <f t="shared" si="7"/>
        <v>0</v>
      </c>
      <c r="E21" s="35">
        <f t="shared" si="7"/>
        <v>0.4</v>
      </c>
      <c r="F21" s="35">
        <f t="shared" si="7"/>
        <v>0.1666666667</v>
      </c>
      <c r="G21" s="35">
        <f t="shared" si="7"/>
        <v>0.1836734694</v>
      </c>
      <c r="H21" s="35">
        <f t="shared" si="7"/>
        <v>0.1724137931</v>
      </c>
      <c r="I21" s="35">
        <f t="shared" si="7"/>
        <v>0.08823529412</v>
      </c>
      <c r="J21" s="35">
        <f t="shared" si="7"/>
        <v>0.1351351351</v>
      </c>
      <c r="K21" s="35">
        <f t="shared" si="7"/>
        <v>0.1071428571</v>
      </c>
      <c r="L21" s="35">
        <f t="shared" si="7"/>
        <v>0.0752688172</v>
      </c>
      <c r="M21" s="35">
        <f t="shared" si="7"/>
        <v>0.12</v>
      </c>
      <c r="N21" s="35">
        <f t="shared" si="7"/>
        <v>0.07142857143</v>
      </c>
      <c r="O21" s="35">
        <f t="shared" si="7"/>
        <v>0</v>
      </c>
      <c r="P21" s="35">
        <f t="shared" si="7"/>
        <v>0</v>
      </c>
      <c r="Q21" s="35">
        <f t="shared" si="7"/>
        <v>-0.1</v>
      </c>
      <c r="R21" s="35">
        <f t="shared" si="7"/>
        <v>-0.1574074074</v>
      </c>
      <c r="S21" s="35">
        <f t="shared" si="7"/>
        <v>-0.0989010989</v>
      </c>
      <c r="T21" s="35">
        <f t="shared" si="7"/>
        <v>-0.2073170732</v>
      </c>
      <c r="U21" s="35">
        <f t="shared" si="7"/>
        <v>-0.09230769231</v>
      </c>
      <c r="V21" s="35">
        <f t="shared" si="7"/>
        <v>-0.2711864407</v>
      </c>
      <c r="W21" s="35">
        <f t="shared" si="7"/>
        <v>-0.2093023256</v>
      </c>
      <c r="X21" s="35">
        <f t="shared" si="7"/>
        <v>-0.3529411765</v>
      </c>
      <c r="Y21" s="35">
        <f t="shared" si="7"/>
        <v>-0.5454545455</v>
      </c>
      <c r="Z21" s="35">
        <f t="shared" si="7"/>
        <v>-1</v>
      </c>
    </row>
    <row r="22" ht="15.75" customHeight="1">
      <c r="B22" s="22" t="s">
        <v>186</v>
      </c>
      <c r="C22" s="40">
        <f>SUMPRODUCT((('Revenue register'!$D$10:$D$49="Recurring")+('Revenue register'!$D$10:$D$49="Renewal"))*('Revenue register'!$F$10:$F$49&lt;=C$9)*('Revenue register'!$G$10:$G$49&gt;=C$9))</f>
        <v>5</v>
      </c>
      <c r="D22" s="40">
        <f>SUMPRODUCT((('Revenue register'!$D$10:$D$49="Recurring")+('Revenue register'!$D$10:$D$49="Renewal"))*('Revenue register'!$F$10:$F$49&lt;=D$9)*('Revenue register'!$G$10:$G$49&gt;=D$9))</f>
        <v>5</v>
      </c>
      <c r="E22" s="40">
        <f>SUMPRODUCT((('Revenue register'!$D$10:$D$49="Recurring")+('Revenue register'!$D$10:$D$49="Renewal"))*('Revenue register'!$F$10:$F$49&lt;=E$9)*('Revenue register'!$G$10:$G$49&gt;=E$9))</f>
        <v>6</v>
      </c>
      <c r="F22" s="40">
        <f>SUMPRODUCT((('Revenue register'!$D$10:$D$49="Recurring")+('Revenue register'!$D$10:$D$49="Renewal"))*('Revenue register'!$F$10:$F$49&lt;=F$9)*('Revenue register'!$G$10:$G$49&gt;=F$9))</f>
        <v>7</v>
      </c>
      <c r="G22" s="40">
        <f>SUMPRODUCT((('Revenue register'!$D$10:$D$49="Recurring")+('Revenue register'!$D$10:$D$49="Renewal"))*('Revenue register'!$F$10:$F$49&lt;=G$9)*('Revenue register'!$G$10:$G$49&gt;=G$9))</f>
        <v>8</v>
      </c>
      <c r="H22" s="40">
        <f>SUMPRODUCT((('Revenue register'!$D$10:$D$49="Recurring")+('Revenue register'!$D$10:$D$49="Renewal"))*('Revenue register'!$F$10:$F$49&lt;=H$9)*('Revenue register'!$G$10:$G$49&gt;=H$9))</f>
        <v>9</v>
      </c>
      <c r="I22" s="40">
        <f>SUMPRODUCT((('Revenue register'!$D$10:$D$49="Recurring")+('Revenue register'!$D$10:$D$49="Renewal"))*('Revenue register'!$F$10:$F$49&lt;=I$9)*('Revenue register'!$G$10:$G$49&gt;=I$9))</f>
        <v>10</v>
      </c>
      <c r="J22" s="40">
        <f>SUMPRODUCT((('Revenue register'!$D$10:$D$49="Recurring")+('Revenue register'!$D$10:$D$49="Renewal"))*('Revenue register'!$F$10:$F$49&lt;=J$9)*('Revenue register'!$G$10:$G$49&gt;=J$9))</f>
        <v>11</v>
      </c>
      <c r="K22" s="40">
        <f>SUMPRODUCT((('Revenue register'!$D$10:$D$49="Recurring")+('Revenue register'!$D$10:$D$49="Renewal"))*('Revenue register'!$F$10:$F$49&lt;=K$9)*('Revenue register'!$G$10:$G$49&gt;=K$9))</f>
        <v>12</v>
      </c>
      <c r="L22" s="40">
        <f>SUMPRODUCT((('Revenue register'!$D$10:$D$49="Recurring")+('Revenue register'!$D$10:$D$49="Renewal"))*('Revenue register'!$F$10:$F$49&lt;=L$9)*('Revenue register'!$G$10:$G$49&gt;=L$9))</f>
        <v>13</v>
      </c>
      <c r="M22" s="40">
        <f>SUMPRODUCT((('Revenue register'!$D$10:$D$49="Recurring")+('Revenue register'!$D$10:$D$49="Renewal"))*('Revenue register'!$F$10:$F$49&lt;=M$9)*('Revenue register'!$G$10:$G$49&gt;=M$9))</f>
        <v>14</v>
      </c>
      <c r="N22" s="40">
        <f>SUMPRODUCT((('Revenue register'!$D$10:$D$49="Recurring")+('Revenue register'!$D$10:$D$49="Renewal"))*('Revenue register'!$F$10:$F$49&lt;=N$9)*('Revenue register'!$G$10:$G$49&gt;=N$9))</f>
        <v>14</v>
      </c>
      <c r="O22" s="40">
        <f>SUMPRODUCT((('Revenue register'!$D$10:$D$49="Recurring")+('Revenue register'!$D$10:$D$49="Renewal"))*('Revenue register'!$F$10:$F$49&lt;=O$9)*('Revenue register'!$G$10:$G$49&gt;=O$9))</f>
        <v>14</v>
      </c>
      <c r="P22" s="40">
        <f>SUMPRODUCT((('Revenue register'!$D$10:$D$49="Recurring")+('Revenue register'!$D$10:$D$49="Renewal"))*('Revenue register'!$F$10:$F$49&lt;=P$9)*('Revenue register'!$G$10:$G$49&gt;=P$9))</f>
        <v>14</v>
      </c>
      <c r="Q22" s="40">
        <f>SUMPRODUCT((('Revenue register'!$D$10:$D$49="Recurring")+('Revenue register'!$D$10:$D$49="Renewal"))*('Revenue register'!$F$10:$F$49&lt;=Q$9)*('Revenue register'!$G$10:$G$49&gt;=Q$9))</f>
        <v>13</v>
      </c>
      <c r="R22" s="40">
        <f>SUMPRODUCT((('Revenue register'!$D$10:$D$49="Recurring")+('Revenue register'!$D$10:$D$49="Renewal"))*('Revenue register'!$F$10:$F$49&lt;=R$9)*('Revenue register'!$G$10:$G$49&gt;=R$9))</f>
        <v>11</v>
      </c>
      <c r="S22" s="40">
        <f>SUMPRODUCT((('Revenue register'!$D$10:$D$49="Recurring")+('Revenue register'!$D$10:$D$49="Renewal"))*('Revenue register'!$F$10:$F$49&lt;=S$9)*('Revenue register'!$G$10:$G$49&gt;=S$9))</f>
        <v>10</v>
      </c>
      <c r="T22" s="40">
        <f>SUMPRODUCT((('Revenue register'!$D$10:$D$49="Recurring")+('Revenue register'!$D$10:$D$49="Renewal"))*('Revenue register'!$F$10:$F$49&lt;=T$9)*('Revenue register'!$G$10:$G$49&gt;=T$9))</f>
        <v>8</v>
      </c>
      <c r="U22" s="40">
        <f>SUMPRODUCT((('Revenue register'!$D$10:$D$49="Recurring")+('Revenue register'!$D$10:$D$49="Renewal"))*('Revenue register'!$F$10:$F$49&lt;=U$9)*('Revenue register'!$G$10:$G$49&gt;=U$9))</f>
        <v>7</v>
      </c>
      <c r="V22" s="40">
        <f>SUMPRODUCT((('Revenue register'!$D$10:$D$49="Recurring")+('Revenue register'!$D$10:$D$49="Renewal"))*('Revenue register'!$F$10:$F$49&lt;=V$9)*('Revenue register'!$G$10:$G$49&gt;=V$9))</f>
        <v>5</v>
      </c>
      <c r="W22" s="40">
        <f>SUMPRODUCT((('Revenue register'!$D$10:$D$49="Recurring")+('Revenue register'!$D$10:$D$49="Renewal"))*('Revenue register'!$F$10:$F$49&lt;=W$9)*('Revenue register'!$G$10:$G$49&gt;=W$9))</f>
        <v>4</v>
      </c>
      <c r="X22" s="40">
        <f>SUMPRODUCT((('Revenue register'!$D$10:$D$49="Recurring")+('Revenue register'!$D$10:$D$49="Renewal"))*('Revenue register'!$F$10:$F$49&lt;=X$9)*('Revenue register'!$G$10:$G$49&gt;=X$9))</f>
        <v>2</v>
      </c>
      <c r="Y22" s="40">
        <f>SUMPRODUCT((('Revenue register'!$D$10:$D$49="Recurring")+('Revenue register'!$D$10:$D$49="Renewal"))*('Revenue register'!$F$10:$F$49&lt;=Y$9)*('Revenue register'!$G$10:$G$49&gt;=Y$9))</f>
        <v>1</v>
      </c>
      <c r="Z22" s="40">
        <f>SUMPRODUCT((('Revenue register'!$D$10:$D$49="Recurring")+('Revenue register'!$D$10:$D$49="Renewal"))*('Revenue register'!$F$10:$F$49&lt;=Z$9)*('Revenue register'!$G$10:$G$49&gt;=Z$9))</f>
        <v>0</v>
      </c>
    </row>
    <row r="23" ht="15.75" customHeight="1">
      <c r="B23" s="22" t="s">
        <v>187</v>
      </c>
      <c r="C23" s="36">
        <f>SUMPRODUCT((('Revenue register'!$D$10:$D$49="Pilot fee")+('Revenue register'!$D$10:$D$49="Set-up fee")+('Revenue register'!$D$10:$D$49="Services")+('Revenue register'!$D$10:$D$49="Other one-off"))*('Revenue register'!$F$10:$F$49&gt;=C$8)*('Revenue register'!$F$10:$F$49&lt;=C$9)*'Revenue register'!$E$10:$E$49)</f>
        <v>0</v>
      </c>
      <c r="D23" s="36">
        <f>SUMPRODUCT((('Revenue register'!$D$10:$D$49="Pilot fee")+('Revenue register'!$D$10:$D$49="Set-up fee")+('Revenue register'!$D$10:$D$49="Services")+('Revenue register'!$D$10:$D$49="Other one-off"))*('Revenue register'!$F$10:$F$49&gt;=D$8)*('Revenue register'!$F$10:$F$49&lt;=D$9)*'Revenue register'!$E$10:$E$49)</f>
        <v>0</v>
      </c>
      <c r="E23" s="36">
        <f>SUMPRODUCT((('Revenue register'!$D$10:$D$49="Pilot fee")+('Revenue register'!$D$10:$D$49="Set-up fee")+('Revenue register'!$D$10:$D$49="Services")+('Revenue register'!$D$10:$D$49="Other one-off"))*('Revenue register'!$F$10:$F$49&gt;=E$8)*('Revenue register'!$F$10:$F$49&lt;=E$9)*'Revenue register'!$E$10:$E$49)</f>
        <v>0</v>
      </c>
      <c r="F23" s="36">
        <f>SUMPRODUCT((('Revenue register'!$D$10:$D$49="Pilot fee")+('Revenue register'!$D$10:$D$49="Set-up fee")+('Revenue register'!$D$10:$D$49="Services")+('Revenue register'!$D$10:$D$49="Other one-off"))*('Revenue register'!$F$10:$F$49&gt;=F$8)*('Revenue register'!$F$10:$F$49&lt;=F$9)*'Revenue register'!$E$10:$E$49)</f>
        <v>0</v>
      </c>
      <c r="G23" s="36">
        <f>SUMPRODUCT((('Revenue register'!$D$10:$D$49="Pilot fee")+('Revenue register'!$D$10:$D$49="Set-up fee")+('Revenue register'!$D$10:$D$49="Services")+('Revenue register'!$D$10:$D$49="Other one-off"))*('Revenue register'!$F$10:$F$49&gt;=G$8)*('Revenue register'!$F$10:$F$49&lt;=G$9)*'Revenue register'!$E$10:$E$49)</f>
        <v>0</v>
      </c>
      <c r="H23" s="36">
        <f>SUMPRODUCT((('Revenue register'!$D$10:$D$49="Pilot fee")+('Revenue register'!$D$10:$D$49="Set-up fee")+('Revenue register'!$D$10:$D$49="Services")+('Revenue register'!$D$10:$D$49="Other one-off"))*('Revenue register'!$F$10:$F$49&gt;=H$8)*('Revenue register'!$F$10:$F$49&lt;=H$9)*'Revenue register'!$E$10:$E$49)</f>
        <v>0</v>
      </c>
      <c r="I23" s="36">
        <f>SUMPRODUCT((('Revenue register'!$D$10:$D$49="Pilot fee")+('Revenue register'!$D$10:$D$49="Set-up fee")+('Revenue register'!$D$10:$D$49="Services")+('Revenue register'!$D$10:$D$49="Other one-off"))*('Revenue register'!$F$10:$F$49&gt;=I$8)*('Revenue register'!$F$10:$F$49&lt;=I$9)*'Revenue register'!$E$10:$E$49)</f>
        <v>6000</v>
      </c>
      <c r="J23" s="36">
        <f>SUMPRODUCT((('Revenue register'!$D$10:$D$49="Pilot fee")+('Revenue register'!$D$10:$D$49="Set-up fee")+('Revenue register'!$D$10:$D$49="Services")+('Revenue register'!$D$10:$D$49="Other one-off"))*('Revenue register'!$F$10:$F$49&gt;=J$8)*('Revenue register'!$F$10:$F$49&lt;=J$9)*'Revenue register'!$E$10:$E$49)</f>
        <v>9000</v>
      </c>
      <c r="K23" s="36">
        <f>SUMPRODUCT((('Revenue register'!$D$10:$D$49="Pilot fee")+('Revenue register'!$D$10:$D$49="Set-up fee")+('Revenue register'!$D$10:$D$49="Services")+('Revenue register'!$D$10:$D$49="Other one-off"))*('Revenue register'!$F$10:$F$49&gt;=K$8)*('Revenue register'!$F$10:$F$49&lt;=K$9)*'Revenue register'!$E$10:$E$49)</f>
        <v>0</v>
      </c>
      <c r="L23" s="36">
        <f>SUMPRODUCT((('Revenue register'!$D$10:$D$49="Pilot fee")+('Revenue register'!$D$10:$D$49="Set-up fee")+('Revenue register'!$D$10:$D$49="Services")+('Revenue register'!$D$10:$D$49="Other one-off"))*('Revenue register'!$F$10:$F$49&gt;=L$8)*('Revenue register'!$F$10:$F$49&lt;=L$9)*'Revenue register'!$E$10:$E$49)</f>
        <v>0</v>
      </c>
      <c r="M23" s="36">
        <f>SUMPRODUCT((('Revenue register'!$D$10:$D$49="Pilot fee")+('Revenue register'!$D$10:$D$49="Set-up fee")+('Revenue register'!$D$10:$D$49="Services")+('Revenue register'!$D$10:$D$49="Other one-off"))*('Revenue register'!$F$10:$F$49&gt;=M$8)*('Revenue register'!$F$10:$F$49&lt;=M$9)*'Revenue register'!$E$10:$E$49)</f>
        <v>0</v>
      </c>
      <c r="N23" s="36">
        <f>SUMPRODUCT((('Revenue register'!$D$10:$D$49="Pilot fee")+('Revenue register'!$D$10:$D$49="Set-up fee")+('Revenue register'!$D$10:$D$49="Services")+('Revenue register'!$D$10:$D$49="Other one-off"))*('Revenue register'!$F$10:$F$49&gt;=N$8)*('Revenue register'!$F$10:$F$49&lt;=N$9)*'Revenue register'!$E$10:$E$49)</f>
        <v>0</v>
      </c>
      <c r="O23" s="36">
        <f>SUMPRODUCT((('Revenue register'!$D$10:$D$49="Pilot fee")+('Revenue register'!$D$10:$D$49="Set-up fee")+('Revenue register'!$D$10:$D$49="Services")+('Revenue register'!$D$10:$D$49="Other one-off"))*('Revenue register'!$F$10:$F$49&gt;=O$8)*('Revenue register'!$F$10:$F$49&lt;=O$9)*'Revenue register'!$E$10:$E$49)</f>
        <v>0</v>
      </c>
      <c r="P23" s="36">
        <f>SUMPRODUCT((('Revenue register'!$D$10:$D$49="Pilot fee")+('Revenue register'!$D$10:$D$49="Set-up fee")+('Revenue register'!$D$10:$D$49="Services")+('Revenue register'!$D$10:$D$49="Other one-off"))*('Revenue register'!$F$10:$F$49&gt;=P$8)*('Revenue register'!$F$10:$F$49&lt;=P$9)*'Revenue register'!$E$10:$E$49)</f>
        <v>0</v>
      </c>
      <c r="Q23" s="36">
        <f>SUMPRODUCT((('Revenue register'!$D$10:$D$49="Pilot fee")+('Revenue register'!$D$10:$D$49="Set-up fee")+('Revenue register'!$D$10:$D$49="Services")+('Revenue register'!$D$10:$D$49="Other one-off"))*('Revenue register'!$F$10:$F$49&gt;=Q$8)*('Revenue register'!$F$10:$F$49&lt;=Q$9)*'Revenue register'!$E$10:$E$49)</f>
        <v>0</v>
      </c>
      <c r="R23" s="36">
        <f>SUMPRODUCT((('Revenue register'!$D$10:$D$49="Pilot fee")+('Revenue register'!$D$10:$D$49="Set-up fee")+('Revenue register'!$D$10:$D$49="Services")+('Revenue register'!$D$10:$D$49="Other one-off"))*('Revenue register'!$F$10:$F$49&gt;=R$8)*('Revenue register'!$F$10:$F$49&lt;=R$9)*'Revenue register'!$E$10:$E$49)</f>
        <v>0</v>
      </c>
      <c r="S23" s="36">
        <f>SUMPRODUCT((('Revenue register'!$D$10:$D$49="Pilot fee")+('Revenue register'!$D$10:$D$49="Set-up fee")+('Revenue register'!$D$10:$D$49="Services")+('Revenue register'!$D$10:$D$49="Other one-off"))*('Revenue register'!$F$10:$F$49&gt;=S$8)*('Revenue register'!$F$10:$F$49&lt;=S$9)*'Revenue register'!$E$10:$E$49)</f>
        <v>0</v>
      </c>
      <c r="T23" s="36">
        <f>SUMPRODUCT((('Revenue register'!$D$10:$D$49="Pilot fee")+('Revenue register'!$D$10:$D$49="Set-up fee")+('Revenue register'!$D$10:$D$49="Services")+('Revenue register'!$D$10:$D$49="Other one-off"))*('Revenue register'!$F$10:$F$49&gt;=T$8)*('Revenue register'!$F$10:$F$49&lt;=T$9)*'Revenue register'!$E$10:$E$49)</f>
        <v>0</v>
      </c>
      <c r="U23" s="36">
        <f>SUMPRODUCT((('Revenue register'!$D$10:$D$49="Pilot fee")+('Revenue register'!$D$10:$D$49="Set-up fee")+('Revenue register'!$D$10:$D$49="Services")+('Revenue register'!$D$10:$D$49="Other one-off"))*('Revenue register'!$F$10:$F$49&gt;=U$8)*('Revenue register'!$F$10:$F$49&lt;=U$9)*'Revenue register'!$E$10:$E$49)</f>
        <v>0</v>
      </c>
      <c r="V23" s="36">
        <f>SUMPRODUCT((('Revenue register'!$D$10:$D$49="Pilot fee")+('Revenue register'!$D$10:$D$49="Set-up fee")+('Revenue register'!$D$10:$D$49="Services")+('Revenue register'!$D$10:$D$49="Other one-off"))*('Revenue register'!$F$10:$F$49&gt;=V$8)*('Revenue register'!$F$10:$F$49&lt;=V$9)*'Revenue register'!$E$10:$E$49)</f>
        <v>0</v>
      </c>
      <c r="W23" s="36">
        <f>SUMPRODUCT((('Revenue register'!$D$10:$D$49="Pilot fee")+('Revenue register'!$D$10:$D$49="Set-up fee")+('Revenue register'!$D$10:$D$49="Services")+('Revenue register'!$D$10:$D$49="Other one-off"))*('Revenue register'!$F$10:$F$49&gt;=W$8)*('Revenue register'!$F$10:$F$49&lt;=W$9)*'Revenue register'!$E$10:$E$49)</f>
        <v>0</v>
      </c>
      <c r="X23" s="36">
        <f>SUMPRODUCT((('Revenue register'!$D$10:$D$49="Pilot fee")+('Revenue register'!$D$10:$D$49="Set-up fee")+('Revenue register'!$D$10:$D$49="Services")+('Revenue register'!$D$10:$D$49="Other one-off"))*('Revenue register'!$F$10:$F$49&gt;=X$8)*('Revenue register'!$F$10:$F$49&lt;=X$9)*'Revenue register'!$E$10:$E$49)</f>
        <v>0</v>
      </c>
      <c r="Y23" s="36">
        <f>SUMPRODUCT((('Revenue register'!$D$10:$D$49="Pilot fee")+('Revenue register'!$D$10:$D$49="Set-up fee")+('Revenue register'!$D$10:$D$49="Services")+('Revenue register'!$D$10:$D$49="Other one-off"))*('Revenue register'!$F$10:$F$49&gt;=Y$8)*('Revenue register'!$F$10:$F$49&lt;=Y$9)*'Revenue register'!$E$10:$E$49)</f>
        <v>0</v>
      </c>
      <c r="Z23" s="36">
        <f>SUMPRODUCT((('Revenue register'!$D$10:$D$49="Pilot fee")+('Revenue register'!$D$10:$D$49="Set-up fee")+('Revenue register'!$D$10:$D$49="Services")+('Revenue register'!$D$10:$D$49="Other one-off"))*('Revenue register'!$F$10:$F$49&gt;=Z$8)*('Revenue register'!$F$10:$F$49&lt;=Z$9)*'Revenue register'!$E$10:$E$49)</f>
        <v>0</v>
      </c>
    </row>
    <row r="24" ht="15.75" customHeight="1"/>
    <row r="25" ht="18.0" customHeight="1">
      <c r="B25" s="29" t="s">
        <v>188</v>
      </c>
      <c r="C25" s="30"/>
      <c r="D25" s="30"/>
      <c r="E25" s="30"/>
      <c r="F25" s="30"/>
      <c r="G25" s="30"/>
      <c r="H25" s="30"/>
      <c r="I25" s="30"/>
    </row>
    <row r="26" ht="15.75" customHeight="1">
      <c r="B26" s="22" t="s">
        <v>189</v>
      </c>
      <c r="C26" s="36">
        <f>C12</f>
        <v>150000</v>
      </c>
    </row>
    <row r="27" ht="15.75" customHeight="1">
      <c r="B27" s="22" t="s">
        <v>190</v>
      </c>
      <c r="C27" s="36">
        <f>N17</f>
        <v>600000</v>
      </c>
    </row>
    <row r="28" ht="15.75" customHeight="1">
      <c r="B28" s="22" t="s">
        <v>191</v>
      </c>
      <c r="C28" s="35">
        <f>IF(C12&gt;0,N17/C12-1,"–")</f>
        <v>3</v>
      </c>
    </row>
    <row r="29" ht="15.75" customHeight="1">
      <c r="B29" s="22" t="s">
        <v>192</v>
      </c>
      <c r="C29" s="35">
        <f>IF(C12&gt;0,(N17/C12)^(1/12)-1,"–")</f>
        <v>0.1224620483</v>
      </c>
    </row>
    <row r="30" ht="15.75" customHeight="1">
      <c r="B30" s="22" t="s">
        <v>193</v>
      </c>
      <c r="C30" s="36">
        <f>-SUM(C16:N16)</f>
        <v>20000</v>
      </c>
    </row>
    <row r="31" ht="15.75" customHeight="1">
      <c r="B31" s="22" t="s">
        <v>194</v>
      </c>
      <c r="C31" s="35">
        <f>IF(C12&gt;0,1-(-SUM(C16:N16)-SUM(C15:N15))/C12,"–")</f>
        <v>0.8666666667</v>
      </c>
    </row>
    <row r="32" ht="15.75" customHeight="1">
      <c r="B32" s="22" t="s">
        <v>195</v>
      </c>
      <c r="C32" s="35">
        <f>IF(C12&gt;0,(C12+SUM(C14:N14)+SUM(C15:N15)+SUM(C16:N16))/C12,"–")</f>
        <v>1.1</v>
      </c>
    </row>
    <row r="33" ht="15.75" customHeight="1"/>
    <row r="34" ht="15.75" customHeight="1">
      <c r="B34" s="18" t="s">
        <v>47</v>
      </c>
    </row>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3:J3"/>
  </mergeCells>
  <conditionalFormatting sqref="C19:Z19">
    <cfRule type="cellIs" dxfId="0" priority="1" operator="notEqual">
      <formula>0</formula>
    </cfRule>
  </conditionalFormatting>
  <printOptions/>
  <pageMargins bottom="0.7" footer="0.0" header="0.0" left="0.6" right="0.6" top="0.7"/>
  <pageSetup paperSize="9" orientation="landscape"/>
  <headerFooter>
    <oddFooter>&amp;L A Sure Valley Ventures founder resource · svv.ai · v1 · 2026&amp;R Page &amp;P of </oddFooter>
  </headerFooter>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cols>
    <col customWidth="1" min="1" max="1" width="2.0"/>
    <col customWidth="1" min="2" max="2" width="46.0"/>
    <col customWidth="1" min="3" max="3" width="16.0"/>
    <col customWidth="1" min="4" max="4" width="12.0"/>
    <col customWidth="1" min="5" max="5" width="4.0"/>
    <col customWidth="1" min="6" max="6" width="34.0"/>
    <col customWidth="1" min="7" max="7" width="14.0"/>
    <col customWidth="1" min="8" max="8" width="12.0"/>
    <col customWidth="1" min="9" max="26" width="8.71"/>
  </cols>
  <sheetData>
    <row r="1" ht="13.5" customHeight="1">
      <c r="A1" s="1" t="s">
        <v>59</v>
      </c>
    </row>
    <row r="2" ht="27.75" customHeight="1">
      <c r="A2" s="6" t="s">
        <v>60</v>
      </c>
    </row>
    <row r="3" ht="31.5" customHeight="1">
      <c r="A3" s="7" t="s">
        <v>64</v>
      </c>
    </row>
    <row r="5">
      <c r="B5" s="22" t="s">
        <v>66</v>
      </c>
      <c r="C5" s="21">
        <v>46327.0</v>
      </c>
      <c r="F5" s="24" t="s">
        <v>69</v>
      </c>
    </row>
    <row r="6">
      <c r="B6" s="22" t="s">
        <v>70</v>
      </c>
      <c r="C6" s="28">
        <f>EDATE($C$5,-12)</f>
        <v>45962</v>
      </c>
    </row>
    <row r="8" ht="18.0" customHeight="1">
      <c r="B8" s="29" t="s">
        <v>85</v>
      </c>
      <c r="C8" s="30"/>
      <c r="D8" s="30"/>
      <c r="F8" s="29" t="s">
        <v>90</v>
      </c>
      <c r="G8" s="30"/>
      <c r="H8" s="30"/>
    </row>
    <row r="9" ht="30.0" customHeight="1">
      <c r="B9" s="17" t="s">
        <v>91</v>
      </c>
      <c r="C9" s="17" t="s">
        <v>92</v>
      </c>
      <c r="D9" s="17" t="s">
        <v>93</v>
      </c>
      <c r="F9" s="17" t="s">
        <v>46</v>
      </c>
      <c r="G9" s="17" t="s">
        <v>94</v>
      </c>
      <c r="H9" s="17" t="s">
        <v>93</v>
      </c>
    </row>
    <row r="10">
      <c r="B10" s="32" t="s">
        <v>95</v>
      </c>
      <c r="C10" s="34">
        <f>SUMPRODUCT((('Revenue register'!$D$10:$D$49="Recurring")+('Revenue register'!$D$10:$D$49="Renewal")+('Revenue register'!$D$10:$D$49="Expansion"))*('Revenue register'!$F$10:$F$49&lt;=$C$5)*('Revenue register'!$G$10:$G$49&gt;=$C$5)*('Revenue register'!$J$10:$J$49&gt;0)*'Revenue register'!$E$10:$E$49)-SUMPRODUCT(('Revenue register'!$D$10:$D$49="Contraction")*('Revenue register'!$F$10:$F$49&lt;=$C$5)*('Revenue register'!$G$10:$G$49&gt;=$C$5)*'Revenue register'!$E$10:$E$49)</f>
        <v>150000</v>
      </c>
      <c r="D10" s="35">
        <f t="shared" ref="D10:D13" si="1">IF($C$13&gt;0,C10/$C$13,0)</f>
        <v>0.7142857143</v>
      </c>
      <c r="F10" s="19" t="s">
        <v>58</v>
      </c>
      <c r="G10" s="36">
        <f>IF(F10="",0,SUMPRODUCT((('Revenue register'!$D$10:$D$49="Recurring")+('Revenue register'!$D$10:$D$49="Renewal")+('Revenue register'!$D$10:$D$49="Expansion"))*('Revenue register'!$F$10:$F$49&lt;=$C$5)*('Revenue register'!$G$10:$G$49&gt;=$C$5)*('Revenue register'!$B$10:$B$49=F10)*'Revenue register'!$E$10:$E$49)-SUMPRODUCT(('Revenue register'!$D$10:$D$49="Contraction")*('Revenue register'!$F$10:$F$49&lt;=$C$5)*('Revenue register'!$G$10:$G$49&gt;=$C$5)*('Revenue register'!$B$10:$B$49=F10)*'Revenue register'!$E$10:$E$49))</f>
        <v>40000</v>
      </c>
      <c r="H10" s="35">
        <f t="shared" ref="H10:H29" si="2">IF($C$14&gt;0,G10/$C$14,0)</f>
        <v>0.2666666667</v>
      </c>
    </row>
    <row r="11">
      <c r="B11" s="22" t="s">
        <v>121</v>
      </c>
      <c r="C11" s="36">
        <f>SUMPRODUCT((('Revenue register'!$D$10:$D$49="Recurring")+('Revenue register'!$D$10:$D$49="Renewal")+('Revenue register'!$D$10:$D$49="Expansion"))*('Revenue register'!$F$10:$F$49&lt;=$C$5)*('Revenue register'!$G$10:$G$49&gt;=$C$5)*('Revenue register'!$I$10:$I$49&gt;0)*('Revenue register'!$J$10:$J$49=0)*'Revenue register'!$E$10:$E$49)</f>
        <v>0</v>
      </c>
      <c r="D11" s="35">
        <f t="shared" si="1"/>
        <v>0</v>
      </c>
      <c r="F11" s="19" t="s">
        <v>67</v>
      </c>
      <c r="G11" s="36">
        <f>IF(F11="",0,SUMPRODUCT((('Revenue register'!$D$10:$D$49="Recurring")+('Revenue register'!$D$10:$D$49="Renewal")+('Revenue register'!$D$10:$D$49="Expansion"))*('Revenue register'!$F$10:$F$49&lt;=$C$5)*('Revenue register'!$G$10:$G$49&gt;=$C$5)*('Revenue register'!$B$10:$B$49=F11)*'Revenue register'!$E$10:$E$49)-SUMPRODUCT(('Revenue register'!$D$10:$D$49="Contraction")*('Revenue register'!$F$10:$F$49&lt;=$C$5)*('Revenue register'!$G$10:$G$49&gt;=$C$5)*('Revenue register'!$B$10:$B$49=F11)*'Revenue register'!$E$10:$E$49))</f>
        <v>35000</v>
      </c>
      <c r="H11" s="35">
        <f t="shared" si="2"/>
        <v>0.2333333333</v>
      </c>
    </row>
    <row r="12">
      <c r="B12" s="22" t="s">
        <v>123</v>
      </c>
      <c r="C12" s="36">
        <f>SUMPRODUCT((('Revenue register'!$D$10:$D$49="Recurring")+('Revenue register'!$D$10:$D$49="Renewal")+('Revenue register'!$D$10:$D$49="Expansion"))*('Revenue register'!$G$10:$G$49&gt;=$C$5)*('Revenue register'!$I$10:$I$49=0)*'Revenue register'!$E$10:$E$49)</f>
        <v>60000</v>
      </c>
      <c r="D12" s="35">
        <f t="shared" si="1"/>
        <v>0.2857142857</v>
      </c>
      <c r="F12" s="19" t="s">
        <v>71</v>
      </c>
      <c r="G12" s="36">
        <f>IF(F12="",0,SUMPRODUCT((('Revenue register'!$D$10:$D$49="Recurring")+('Revenue register'!$D$10:$D$49="Renewal")+('Revenue register'!$D$10:$D$49="Expansion"))*('Revenue register'!$F$10:$F$49&lt;=$C$5)*('Revenue register'!$G$10:$G$49&gt;=$C$5)*('Revenue register'!$B$10:$B$49=F12)*'Revenue register'!$E$10:$E$49)-SUMPRODUCT(('Revenue register'!$D$10:$D$49="Contraction")*('Revenue register'!$F$10:$F$49&lt;=$C$5)*('Revenue register'!$G$10:$G$49&gt;=$C$5)*('Revenue register'!$B$10:$B$49=F12)*'Revenue register'!$E$10:$E$49))</f>
        <v>30000</v>
      </c>
      <c r="H12" s="35">
        <f t="shared" si="2"/>
        <v>0.2</v>
      </c>
    </row>
    <row r="13">
      <c r="B13" s="32" t="s">
        <v>125</v>
      </c>
      <c r="C13" s="34">
        <f>SUM(C10:C12)</f>
        <v>210000</v>
      </c>
      <c r="D13" s="35">
        <f t="shared" si="1"/>
        <v>1</v>
      </c>
      <c r="F13" s="19" t="s">
        <v>74</v>
      </c>
      <c r="G13" s="36">
        <f>IF(F13="",0,SUMPRODUCT((('Revenue register'!$D$10:$D$49="Recurring")+('Revenue register'!$D$10:$D$49="Renewal")+('Revenue register'!$D$10:$D$49="Expansion"))*('Revenue register'!$F$10:$F$49&lt;=$C$5)*('Revenue register'!$G$10:$G$49&gt;=$C$5)*('Revenue register'!$B$10:$B$49=F13)*'Revenue register'!$E$10:$E$49)-SUMPRODUCT(('Revenue register'!$D$10:$D$49="Contraction")*('Revenue register'!$F$10:$F$49&lt;=$C$5)*('Revenue register'!$G$10:$G$49&gt;=$C$5)*('Revenue register'!$B$10:$B$49=F13)*'Revenue register'!$E$10:$E$49))</f>
        <v>25000</v>
      </c>
      <c r="H13" s="35">
        <f t="shared" si="2"/>
        <v>0.1666666667</v>
      </c>
    </row>
    <row r="14">
      <c r="B14" s="22" t="s">
        <v>131</v>
      </c>
      <c r="C14" s="36">
        <f>SUMPRODUCT((('Revenue register'!$D$10:$D$49="Recurring")+('Revenue register'!$D$10:$D$49="Renewal")+('Revenue register'!$D$10:$D$49="Expansion"))*('Revenue register'!$F$10:$F$49&lt;=$C$5)*('Revenue register'!$G$10:$G$49&gt;=$C$5)*'Revenue register'!$E$10:$E$49)-SUMPRODUCT(('Revenue register'!$D$10:$D$49="Contraction")*('Revenue register'!$F$10:$F$49&lt;=$C$5)*('Revenue register'!$G$10:$G$49&gt;=$C$5)*'Revenue register'!$E$10:$E$49)</f>
        <v>150000</v>
      </c>
      <c r="F14" s="19" t="s">
        <v>76</v>
      </c>
      <c r="G14" s="36">
        <f>IF(F14="",0,SUMPRODUCT((('Revenue register'!$D$10:$D$49="Recurring")+('Revenue register'!$D$10:$D$49="Renewal")+('Revenue register'!$D$10:$D$49="Expansion"))*('Revenue register'!$F$10:$F$49&lt;=$C$5)*('Revenue register'!$G$10:$G$49&gt;=$C$5)*('Revenue register'!$B$10:$B$49=F14)*'Revenue register'!$E$10:$E$49)-SUMPRODUCT(('Revenue register'!$D$10:$D$49="Contraction")*('Revenue register'!$F$10:$F$49&lt;=$C$5)*('Revenue register'!$G$10:$G$49&gt;=$C$5)*('Revenue register'!$B$10:$B$49=F14)*'Revenue register'!$E$10:$E$49))</f>
        <v>20000</v>
      </c>
      <c r="H14" s="35">
        <f t="shared" si="2"/>
        <v>0.1333333333</v>
      </c>
    </row>
    <row r="15">
      <c r="F15" s="19" t="s">
        <v>77</v>
      </c>
      <c r="G15" s="36">
        <f>IF(F15="",0,SUMPRODUCT((('Revenue register'!$D$10:$D$49="Recurring")+('Revenue register'!$D$10:$D$49="Renewal")+('Revenue register'!$D$10:$D$49="Expansion"))*('Revenue register'!$F$10:$F$49&lt;=$C$5)*('Revenue register'!$G$10:$G$49&gt;=$C$5)*('Revenue register'!$B$10:$B$49=F15)*'Revenue register'!$E$10:$E$49)-SUMPRODUCT(('Revenue register'!$D$10:$D$49="Contraction")*('Revenue register'!$F$10:$F$49&lt;=$C$5)*('Revenue register'!$G$10:$G$49&gt;=$C$5)*('Revenue register'!$B$10:$B$49=F15)*'Revenue register'!$E$10:$E$49))</f>
        <v>0</v>
      </c>
      <c r="H15" s="35">
        <f t="shared" si="2"/>
        <v>0</v>
      </c>
    </row>
    <row r="16" ht="18.0" customHeight="1">
      <c r="B16" s="29" t="s">
        <v>159</v>
      </c>
      <c r="C16" s="30"/>
      <c r="D16" s="30"/>
      <c r="F16" s="19"/>
      <c r="G16" s="36">
        <f>IF(F16="",0,SUMPRODUCT((('Revenue register'!$D$10:$D$49="Recurring")+('Revenue register'!$D$10:$D$49="Renewal")+('Revenue register'!$D$10:$D$49="Expansion"))*('Revenue register'!$F$10:$F$49&lt;=$C$5)*('Revenue register'!$G$10:$G$49&gt;=$C$5)*('Revenue register'!$B$10:$B$49=F16)*'Revenue register'!$E$10:$E$49)-SUMPRODUCT(('Revenue register'!$D$10:$D$49="Contraction")*('Revenue register'!$F$10:$F$49&lt;=$C$5)*('Revenue register'!$G$10:$G$49&gt;=$C$5)*('Revenue register'!$B$10:$B$49=F16)*'Revenue register'!$E$10:$E$49))</f>
        <v>0</v>
      </c>
      <c r="H16" s="35">
        <f t="shared" si="2"/>
        <v>0</v>
      </c>
    </row>
    <row r="17" ht="30.0" customHeight="1">
      <c r="B17" s="17" t="s">
        <v>91</v>
      </c>
      <c r="C17" s="17" t="s">
        <v>160</v>
      </c>
      <c r="D17" s="17" t="s">
        <v>161</v>
      </c>
      <c r="F17" s="19"/>
      <c r="G17" s="36">
        <f>IF(F17="",0,SUMPRODUCT((('Revenue register'!$D$10:$D$49="Recurring")+('Revenue register'!$D$10:$D$49="Renewal")+('Revenue register'!$D$10:$D$49="Expansion"))*('Revenue register'!$F$10:$F$49&lt;=$C$5)*('Revenue register'!$G$10:$G$49&gt;=$C$5)*('Revenue register'!$B$10:$B$49=F17)*'Revenue register'!$E$10:$E$49)-SUMPRODUCT(('Revenue register'!$D$10:$D$49="Contraction")*('Revenue register'!$F$10:$F$49&lt;=$C$5)*('Revenue register'!$G$10:$G$49&gt;=$C$5)*('Revenue register'!$B$10:$B$49=F17)*'Revenue register'!$E$10:$E$49))</f>
        <v>0</v>
      </c>
      <c r="H17" s="35">
        <f t="shared" si="2"/>
        <v>0</v>
      </c>
    </row>
    <row r="18">
      <c r="B18" s="22" t="s">
        <v>81</v>
      </c>
      <c r="C18" s="36">
        <f>SUMPRODUCT(('Revenue register'!$D$10:$D$49="Pilot fee")*('Revenue register'!$F$10:$F$49&gt;$C$6)*('Revenue register'!$F$10:$F$49&lt;=$C$5)*'Revenue register'!$E$10:$E$49)</f>
        <v>8000</v>
      </c>
      <c r="D18" s="35">
        <f t="shared" ref="D18:D22" si="3">IF($C$23&gt;0,C18/$C$23,0)</f>
        <v>0.0490797546</v>
      </c>
      <c r="F18" s="19"/>
      <c r="G18" s="36">
        <f>IF(F18="",0,SUMPRODUCT((('Revenue register'!$D$10:$D$49="Recurring")+('Revenue register'!$D$10:$D$49="Renewal")+('Revenue register'!$D$10:$D$49="Expansion"))*('Revenue register'!$F$10:$F$49&lt;=$C$5)*('Revenue register'!$G$10:$G$49&gt;=$C$5)*('Revenue register'!$B$10:$B$49=F18)*'Revenue register'!$E$10:$E$49)-SUMPRODUCT(('Revenue register'!$D$10:$D$49="Contraction")*('Revenue register'!$F$10:$F$49&lt;=$C$5)*('Revenue register'!$G$10:$G$49&gt;=$C$5)*('Revenue register'!$B$10:$B$49=F18)*'Revenue register'!$E$10:$E$49))</f>
        <v>0</v>
      </c>
      <c r="H18" s="35">
        <f t="shared" si="2"/>
        <v>0</v>
      </c>
    </row>
    <row r="19">
      <c r="B19" s="22" t="s">
        <v>87</v>
      </c>
      <c r="C19" s="36">
        <f>SUMPRODUCT(('Revenue register'!$D$10:$D$49="Set-up fee")*('Revenue register'!$F$10:$F$49&gt;$C$6)*('Revenue register'!$F$10:$F$49&lt;=$C$5)*'Revenue register'!$E$10:$E$49)</f>
        <v>5000</v>
      </c>
      <c r="D19" s="35">
        <f t="shared" si="3"/>
        <v>0.03067484663</v>
      </c>
      <c r="F19" s="19"/>
      <c r="G19" s="36">
        <f>IF(F19="",0,SUMPRODUCT((('Revenue register'!$D$10:$D$49="Recurring")+('Revenue register'!$D$10:$D$49="Renewal")+('Revenue register'!$D$10:$D$49="Expansion"))*('Revenue register'!$F$10:$F$49&lt;=$C$5)*('Revenue register'!$G$10:$G$49&gt;=$C$5)*('Revenue register'!$B$10:$B$49=F19)*'Revenue register'!$E$10:$E$49)-SUMPRODUCT(('Revenue register'!$D$10:$D$49="Contraction")*('Revenue register'!$F$10:$F$49&lt;=$C$5)*('Revenue register'!$G$10:$G$49&gt;=$C$5)*('Revenue register'!$B$10:$B$49=F19)*'Revenue register'!$E$10:$E$49))</f>
        <v>0</v>
      </c>
      <c r="H19" s="35">
        <f t="shared" si="2"/>
        <v>0</v>
      </c>
    </row>
    <row r="20">
      <c r="B20" s="22" t="s">
        <v>143</v>
      </c>
      <c r="C20" s="36">
        <f>SUMPRODUCT(('Revenue register'!$D$10:$D$49="Services")*('Revenue register'!$F$10:$F$49&gt;$C$6)*('Revenue register'!$F$10:$F$49&lt;=$C$5)*'Revenue register'!$E$10:$E$49)</f>
        <v>0</v>
      </c>
      <c r="D20" s="35">
        <f t="shared" si="3"/>
        <v>0</v>
      </c>
      <c r="F20" s="19"/>
      <c r="G20" s="36">
        <f>IF(F20="",0,SUMPRODUCT((('Revenue register'!$D$10:$D$49="Recurring")+('Revenue register'!$D$10:$D$49="Renewal")+('Revenue register'!$D$10:$D$49="Expansion"))*('Revenue register'!$F$10:$F$49&lt;=$C$5)*('Revenue register'!$G$10:$G$49&gt;=$C$5)*('Revenue register'!$B$10:$B$49=F20)*'Revenue register'!$E$10:$E$49)-SUMPRODUCT(('Revenue register'!$D$10:$D$49="Contraction")*('Revenue register'!$F$10:$F$49&lt;=$C$5)*('Revenue register'!$G$10:$G$49&gt;=$C$5)*('Revenue register'!$B$10:$B$49=F20)*'Revenue register'!$E$10:$E$49))</f>
        <v>0</v>
      </c>
      <c r="H20" s="35">
        <f t="shared" si="2"/>
        <v>0</v>
      </c>
    </row>
    <row r="21" ht="15.75" customHeight="1">
      <c r="B21" s="22" t="s">
        <v>163</v>
      </c>
      <c r="C21" s="36">
        <f>SUMPRODUCT(('Revenue register'!$D$10:$D$49="Other one-off")*('Revenue register'!$F$10:$F$49&gt;$C$6)*('Revenue register'!$F$10:$F$49&lt;=$C$5)*'Revenue register'!$E$10:$E$49)</f>
        <v>0</v>
      </c>
      <c r="D21" s="35">
        <f t="shared" si="3"/>
        <v>0</v>
      </c>
      <c r="F21" s="19"/>
      <c r="G21" s="36">
        <f>IF(F21="",0,SUMPRODUCT((('Revenue register'!$D$10:$D$49="Recurring")+('Revenue register'!$D$10:$D$49="Renewal")+('Revenue register'!$D$10:$D$49="Expansion"))*('Revenue register'!$F$10:$F$49&lt;=$C$5)*('Revenue register'!$G$10:$G$49&gt;=$C$5)*('Revenue register'!$B$10:$B$49=F21)*'Revenue register'!$E$10:$E$49)-SUMPRODUCT(('Revenue register'!$D$10:$D$49="Contraction")*('Revenue register'!$F$10:$F$49&lt;=$C$5)*('Revenue register'!$G$10:$G$49&gt;=$C$5)*('Revenue register'!$B$10:$B$49=F21)*'Revenue register'!$E$10:$E$49))</f>
        <v>0</v>
      </c>
      <c r="H21" s="35">
        <f t="shared" si="2"/>
        <v>0</v>
      </c>
    </row>
    <row r="22" ht="15.75" customHeight="1">
      <c r="B22" s="32" t="s">
        <v>164</v>
      </c>
      <c r="C22" s="34">
        <f>SUM(C18:C21)</f>
        <v>13000</v>
      </c>
      <c r="D22" s="35">
        <f t="shared" si="3"/>
        <v>0.07975460123</v>
      </c>
      <c r="F22" s="19"/>
      <c r="G22" s="36">
        <f>IF(F22="",0,SUMPRODUCT((('Revenue register'!$D$10:$D$49="Recurring")+('Revenue register'!$D$10:$D$49="Renewal")+('Revenue register'!$D$10:$D$49="Expansion"))*('Revenue register'!$F$10:$F$49&lt;=$C$5)*('Revenue register'!$G$10:$G$49&gt;=$C$5)*('Revenue register'!$B$10:$B$49=F22)*'Revenue register'!$E$10:$E$49)-SUMPRODUCT(('Revenue register'!$D$10:$D$49="Contraction")*('Revenue register'!$F$10:$F$49&lt;=$C$5)*('Revenue register'!$G$10:$G$49&gt;=$C$5)*('Revenue register'!$B$10:$B$49=F22)*'Revenue register'!$E$10:$E$49))</f>
        <v>0</v>
      </c>
      <c r="H22" s="35">
        <f t="shared" si="2"/>
        <v>0</v>
      </c>
    </row>
    <row r="23" ht="15.75" customHeight="1">
      <c r="B23" s="22" t="s">
        <v>165</v>
      </c>
      <c r="C23" s="36">
        <f>$C$14+$C$22</f>
        <v>163000</v>
      </c>
      <c r="F23" s="19"/>
      <c r="G23" s="36">
        <f>IF(F23="",0,SUMPRODUCT((('Revenue register'!$D$10:$D$49="Recurring")+('Revenue register'!$D$10:$D$49="Renewal")+('Revenue register'!$D$10:$D$49="Expansion"))*('Revenue register'!$F$10:$F$49&lt;=$C$5)*('Revenue register'!$G$10:$G$49&gt;=$C$5)*('Revenue register'!$B$10:$B$49=F23)*'Revenue register'!$E$10:$E$49)-SUMPRODUCT(('Revenue register'!$D$10:$D$49="Contraction")*('Revenue register'!$F$10:$F$49&lt;=$C$5)*('Revenue register'!$G$10:$G$49&gt;=$C$5)*('Revenue register'!$B$10:$B$49=F23)*'Revenue register'!$E$10:$E$49))</f>
        <v>0</v>
      </c>
      <c r="H23" s="35">
        <f t="shared" si="2"/>
        <v>0</v>
      </c>
    </row>
    <row r="24" ht="15.75" customHeight="1">
      <c r="F24" s="19"/>
      <c r="G24" s="36">
        <f>IF(F24="",0,SUMPRODUCT((('Revenue register'!$D$10:$D$49="Recurring")+('Revenue register'!$D$10:$D$49="Renewal")+('Revenue register'!$D$10:$D$49="Expansion"))*('Revenue register'!$F$10:$F$49&lt;=$C$5)*('Revenue register'!$G$10:$G$49&gt;=$C$5)*('Revenue register'!$B$10:$B$49=F24)*'Revenue register'!$E$10:$E$49)-SUMPRODUCT(('Revenue register'!$D$10:$D$49="Contraction")*('Revenue register'!$F$10:$F$49&lt;=$C$5)*('Revenue register'!$G$10:$G$49&gt;=$C$5)*('Revenue register'!$B$10:$B$49=F24)*'Revenue register'!$E$10:$E$49))</f>
        <v>0</v>
      </c>
      <c r="H24" s="35">
        <f t="shared" si="2"/>
        <v>0</v>
      </c>
    </row>
    <row r="25" ht="18.0" customHeight="1">
      <c r="B25" s="29" t="s">
        <v>166</v>
      </c>
      <c r="C25" s="30"/>
      <c r="D25" s="30"/>
      <c r="F25" s="19"/>
      <c r="G25" s="36">
        <f>IF(F25="",0,SUMPRODUCT((('Revenue register'!$D$10:$D$49="Recurring")+('Revenue register'!$D$10:$D$49="Renewal")+('Revenue register'!$D$10:$D$49="Expansion"))*('Revenue register'!$F$10:$F$49&lt;=$C$5)*('Revenue register'!$G$10:$G$49&gt;=$C$5)*('Revenue register'!$B$10:$B$49=F25)*'Revenue register'!$E$10:$E$49)-SUMPRODUCT(('Revenue register'!$D$10:$D$49="Contraction")*('Revenue register'!$F$10:$F$49&lt;=$C$5)*('Revenue register'!$G$10:$G$49&gt;=$C$5)*('Revenue register'!$B$10:$B$49=F25)*'Revenue register'!$E$10:$E$49))</f>
        <v>0</v>
      </c>
      <c r="H25" s="35">
        <f t="shared" si="2"/>
        <v>0</v>
      </c>
    </row>
    <row r="26" ht="15.75" customHeight="1">
      <c r="B26" s="22" t="s">
        <v>168</v>
      </c>
      <c r="C26" s="40">
        <f>SUMPRODUCT(('Revenue register'!$D$10:$D$49="Pilot fee")*('Revenue register'!$F$10:$F$49&gt;$C$6)*('Revenue register'!$F$10:$F$49&lt;=$C$5))</f>
        <v>1</v>
      </c>
      <c r="F26" s="19"/>
      <c r="G26" s="36">
        <f>IF(F26="",0,SUMPRODUCT((('Revenue register'!$D$10:$D$49="Recurring")+('Revenue register'!$D$10:$D$49="Renewal")+('Revenue register'!$D$10:$D$49="Expansion"))*('Revenue register'!$F$10:$F$49&lt;=$C$5)*('Revenue register'!$G$10:$G$49&gt;=$C$5)*('Revenue register'!$B$10:$B$49=F26)*'Revenue register'!$E$10:$E$49)-SUMPRODUCT(('Revenue register'!$D$10:$D$49="Contraction")*('Revenue register'!$F$10:$F$49&lt;=$C$5)*('Revenue register'!$G$10:$G$49&gt;=$C$5)*('Revenue register'!$B$10:$B$49=F26)*'Revenue register'!$E$10:$E$49))</f>
        <v>0</v>
      </c>
      <c r="H26" s="35">
        <f t="shared" si="2"/>
        <v>0</v>
      </c>
    </row>
    <row r="27" ht="15.75" customHeight="1">
      <c r="B27" s="22" t="s">
        <v>169</v>
      </c>
      <c r="C27" s="40">
        <f>SUMPRODUCT(('Revenue register'!$D$10:$D$49="Pilot fee")*('Revenue register'!$F$10:$F$49&gt;$C$6)*('Revenue register'!$F$10:$F$49&lt;=$C$5)*('Revenue register'!$K$10:$K$49="Yes"))</f>
        <v>1</v>
      </c>
      <c r="F27" s="19"/>
      <c r="G27" s="36">
        <f>IF(F27="",0,SUMPRODUCT((('Revenue register'!$D$10:$D$49="Recurring")+('Revenue register'!$D$10:$D$49="Renewal")+('Revenue register'!$D$10:$D$49="Expansion"))*('Revenue register'!$F$10:$F$49&lt;=$C$5)*('Revenue register'!$G$10:$G$49&gt;=$C$5)*('Revenue register'!$B$10:$B$49=F27)*'Revenue register'!$E$10:$E$49)-SUMPRODUCT(('Revenue register'!$D$10:$D$49="Contraction")*('Revenue register'!$F$10:$F$49&lt;=$C$5)*('Revenue register'!$G$10:$G$49&gt;=$C$5)*('Revenue register'!$B$10:$B$49=F27)*'Revenue register'!$E$10:$E$49))</f>
        <v>0</v>
      </c>
      <c r="H27" s="35">
        <f t="shared" si="2"/>
        <v>0</v>
      </c>
    </row>
    <row r="28" ht="15.75" customHeight="1">
      <c r="B28" s="22" t="s">
        <v>170</v>
      </c>
      <c r="C28" s="35">
        <f>IF($C$26&gt;0,$C$27/$C$26,"–")</f>
        <v>1</v>
      </c>
      <c r="F28" s="19"/>
      <c r="G28" s="36">
        <f>IF(F28="",0,SUMPRODUCT((('Revenue register'!$D$10:$D$49="Recurring")+('Revenue register'!$D$10:$D$49="Renewal")+('Revenue register'!$D$10:$D$49="Expansion"))*('Revenue register'!$F$10:$F$49&lt;=$C$5)*('Revenue register'!$G$10:$G$49&gt;=$C$5)*('Revenue register'!$B$10:$B$49=F28)*'Revenue register'!$E$10:$E$49)-SUMPRODUCT(('Revenue register'!$D$10:$D$49="Contraction")*('Revenue register'!$F$10:$F$49&lt;=$C$5)*('Revenue register'!$G$10:$G$49&gt;=$C$5)*('Revenue register'!$B$10:$B$49=F28)*'Revenue register'!$E$10:$E$49))</f>
        <v>0</v>
      </c>
      <c r="H28" s="35">
        <f t="shared" si="2"/>
        <v>0</v>
      </c>
    </row>
    <row r="29" ht="15.75" customHeight="1">
      <c r="F29" s="19"/>
      <c r="G29" s="36">
        <f>IF(F29="",0,SUMPRODUCT((('Revenue register'!$D$10:$D$49="Recurring")+('Revenue register'!$D$10:$D$49="Renewal")+('Revenue register'!$D$10:$D$49="Expansion"))*('Revenue register'!$F$10:$F$49&lt;=$C$5)*('Revenue register'!$G$10:$G$49&gt;=$C$5)*('Revenue register'!$B$10:$B$49=F29)*'Revenue register'!$E$10:$E$49)-SUMPRODUCT(('Revenue register'!$D$10:$D$49="Contraction")*('Revenue register'!$F$10:$F$49&lt;=$C$5)*('Revenue register'!$G$10:$G$49&gt;=$C$5)*('Revenue register'!$B$10:$B$49=F29)*'Revenue register'!$E$10:$E$49))</f>
        <v>0</v>
      </c>
      <c r="H29" s="35">
        <f t="shared" si="2"/>
        <v>0</v>
      </c>
    </row>
    <row r="30" ht="15.75" customHeight="1">
      <c r="F30" s="22" t="s">
        <v>171</v>
      </c>
      <c r="H30" s="41">
        <f>IF($C$14&gt;0,MAX(G10:G29)/$C$14,0)</f>
        <v>0.2666666667</v>
      </c>
    </row>
    <row r="31" ht="15.75" customHeight="1">
      <c r="F31" s="22" t="s">
        <v>172</v>
      </c>
      <c r="H31" s="35">
        <f>IF($C$14&gt;0,(LARGE(G10:G29,1)+LARGE(G10:G29,2)+LARGE(G10:G29,3))/$C$14,0)</f>
        <v>0.7</v>
      </c>
    </row>
    <row r="32" ht="15.75" customHeight="1">
      <c r="F32" s="22" t="s">
        <v>174</v>
      </c>
      <c r="H32" s="35">
        <f>IF($C$14&gt;0,SUMPRODUCT((('Revenue register'!$D$10:$D$49="Recurring")+('Revenue register'!$D$10:$D$49="Renewal")+('Revenue register'!$D$10:$D$49="Expansion"))*('Revenue register'!$F$10:$F$49&lt;=$C$5)*('Revenue register'!$G$10:$G$49&gt;=$C$5)*('Revenue register'!$H$10:$H$49="Annual in advance")*'Revenue register'!$E$10:$E$49)/$C$14,0)</f>
        <v>0.6666666667</v>
      </c>
    </row>
    <row r="33" ht="15.75" customHeight="1">
      <c r="F33" s="22" t="s">
        <v>175</v>
      </c>
      <c r="H33" s="42" t="str">
        <f>IF(ABS(SUM(G10:G29)-$C$14)&lt;1,"Yes","No – add the missing customers")</f>
        <v>Yes</v>
      </c>
    </row>
    <row r="34" ht="15.75" customHeight="1"/>
    <row r="35" ht="18.0" customHeight="1">
      <c r="B35" s="29" t="s">
        <v>176</v>
      </c>
      <c r="C35" s="30"/>
      <c r="D35" s="30"/>
      <c r="E35" s="30"/>
      <c r="F35" s="30"/>
      <c r="G35" s="30"/>
      <c r="H35" s="30"/>
    </row>
    <row r="36" ht="30.0" customHeight="1">
      <c r="B36" s="22" t="s">
        <v>177</v>
      </c>
      <c r="C36" s="43" t="str">
        <f>IF($C$14&gt;$C$10,"Only "&amp;TEXT($C$10,"£#,##0")&amp;" of your "&amp;TEXT($C$14,"£#,##0")&amp;" live ARR is billed and collected. Quote the smaller number, and chase the invoices.","All live ARR is billed and collected.")</f>
        <v>All live ARR is billed and collected.</v>
      </c>
      <c r="D36" s="44"/>
      <c r="E36" s="44"/>
      <c r="F36" s="44"/>
      <c r="G36" s="44"/>
      <c r="H36" s="45"/>
    </row>
    <row r="37" ht="30.0" customHeight="1">
      <c r="B37" s="22" t="s">
        <v>178</v>
      </c>
      <c r="C37" s="43" t="str">
        <f>IF($H$30&gt;0.3,"Largest customer is "&amp;TEXT($H$30,"0%")&amp;" of ARR: above the 30% that worries a Series A investor.","Largest customer is "&amp;TEXT($H$30,"0%")&amp;" of ARR: within the 30% investors look for.")</f>
        <v>Largest customer is 27% of ARR: within the 30% investors look for.</v>
      </c>
      <c r="D37" s="44"/>
      <c r="E37" s="44"/>
      <c r="F37" s="44"/>
      <c r="G37" s="44"/>
      <c r="H37" s="45"/>
    </row>
    <row r="38" ht="30.0" customHeight="1">
      <c r="B38" s="22" t="s">
        <v>179</v>
      </c>
      <c r="C38" s="43" t="str">
        <f>IF($C$23&gt;0,IF(C20/$C$23&gt;0.2,"Services are "&amp;TEXT(C20/$C$23,"0%")&amp;" of revenue: above the 20% investors accept for a software company.","Services are "&amp;TEXT(C20/$C$23,"0%")&amp;" of revenue: fine."),"–")</f>
        <v>Services are 0% of revenue: fine.</v>
      </c>
      <c r="D38" s="44"/>
      <c r="E38" s="44"/>
      <c r="F38" s="44"/>
      <c r="G38" s="44"/>
      <c r="H38" s="45"/>
    </row>
    <row r="39" ht="30.0" customHeight="1">
      <c r="B39" s="22" t="s">
        <v>180</v>
      </c>
      <c r="C39" s="43" t="str">
        <f>IF($H$32&lt;0.6,"Only "&amp;TEXT($H$32,"0%")&amp;" of ARR is on annual contracts; investors look for 60% or more by Series A.",TEXT($H$32,"0%")&amp;" of ARR on annual contracts: fine.")</f>
        <v>67% of ARR on annual contracts: fine.</v>
      </c>
      <c r="D39" s="44"/>
      <c r="E39" s="44"/>
      <c r="F39" s="44"/>
      <c r="G39" s="44"/>
      <c r="H39" s="45"/>
    </row>
    <row r="40" ht="30.0" customHeight="1">
      <c r="B40" s="22" t="s">
        <v>181</v>
      </c>
      <c r="C40" s="43" t="str">
        <f>IF($C$26=0,"No pilots in the period.",IF($C$28&lt;0.5,"Pilots convert at "&amp;TEXT($C$28,"0%")&amp;": below the 50% investors look for. Fix the pilot terms before the next one.","Pilots convert at "&amp;TEXT($C$28,"0%")&amp;": at or above the 50% investors look for."))</f>
        <v>Pilots convert at 100%: at or above the 50% investors look for.</v>
      </c>
      <c r="D40" s="44"/>
      <c r="E40" s="44"/>
      <c r="F40" s="44"/>
      <c r="G40" s="44"/>
      <c r="H40" s="45"/>
    </row>
    <row r="41" ht="15.75" customHeight="1"/>
    <row r="42" ht="15.75" customHeight="1">
      <c r="B42" s="18" t="s">
        <v>47</v>
      </c>
    </row>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
    <mergeCell ref="A3:G3"/>
    <mergeCell ref="C36:H36"/>
    <mergeCell ref="C37:H37"/>
    <mergeCell ref="C38:H38"/>
    <mergeCell ref="C39:H39"/>
    <mergeCell ref="C40:H40"/>
  </mergeCells>
  <printOptions/>
  <pageMargins bottom="0.7" footer="0.0" header="0.0" left="0.6" right="0.6" top="0.7"/>
  <pageSetup fitToHeight="0" paperSize="9" orientation="landscape"/>
  <headerFooter>
    <oddFooter>&amp;L A Sure Valley Ventures founder resource · svv.ai · v1 · 2026&amp;R Page &amp;P of </oddFooter>
  </headerFooter>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cols>
    <col customWidth="1" min="1" max="1" width="2.0"/>
    <col customWidth="1" min="2" max="2" width="34.0"/>
    <col customWidth="1" min="3" max="3" width="70.0"/>
    <col customWidth="1" min="4" max="4" width="30.0"/>
    <col customWidth="1" min="5" max="26" width="8.71"/>
  </cols>
  <sheetData>
    <row r="1" ht="13.5" customHeight="1">
      <c r="A1" s="1" t="s">
        <v>110</v>
      </c>
    </row>
    <row r="2" ht="27.75" customHeight="1">
      <c r="A2" s="6" t="s">
        <v>126</v>
      </c>
    </row>
    <row r="4" ht="30.0" customHeight="1">
      <c r="B4" s="17" t="s">
        <v>91</v>
      </c>
      <c r="C4" s="17" t="s">
        <v>127</v>
      </c>
      <c r="D4" s="17" t="s">
        <v>128</v>
      </c>
    </row>
    <row r="5" ht="30.0" customHeight="1">
      <c r="B5" s="37" t="s">
        <v>129</v>
      </c>
      <c r="C5" s="38" t="s">
        <v>130</v>
      </c>
      <c r="D5" s="39" t="s">
        <v>132</v>
      </c>
    </row>
    <row r="6" ht="18.0" customHeight="1">
      <c r="B6" s="37" t="s">
        <v>121</v>
      </c>
      <c r="C6" s="38" t="s">
        <v>133</v>
      </c>
      <c r="D6" s="39" t="s">
        <v>134</v>
      </c>
    </row>
    <row r="7" ht="30.0" customHeight="1">
      <c r="B7" s="37" t="s">
        <v>135</v>
      </c>
      <c r="C7" s="38" t="s">
        <v>136</v>
      </c>
      <c r="D7" s="39" t="s">
        <v>137</v>
      </c>
    </row>
    <row r="8" ht="18.0" customHeight="1">
      <c r="B8" s="37" t="s">
        <v>138</v>
      </c>
      <c r="C8" s="38" t="s">
        <v>139</v>
      </c>
      <c r="D8" s="39" t="s">
        <v>140</v>
      </c>
    </row>
    <row r="9" ht="18.0" customHeight="1">
      <c r="B9" s="37" t="s">
        <v>141</v>
      </c>
      <c r="C9" s="38" t="s">
        <v>142</v>
      </c>
      <c r="D9" s="39" t="s">
        <v>118</v>
      </c>
    </row>
    <row r="10" ht="18.0" customHeight="1">
      <c r="B10" s="37" t="s">
        <v>143</v>
      </c>
      <c r="C10" s="38" t="s">
        <v>144</v>
      </c>
      <c r="D10" s="39" t="s">
        <v>145</v>
      </c>
    </row>
    <row r="11" ht="30.0" customHeight="1">
      <c r="B11" s="37" t="s">
        <v>146</v>
      </c>
      <c r="C11" s="38" t="s">
        <v>147</v>
      </c>
      <c r="D11" s="39" t="s">
        <v>148</v>
      </c>
    </row>
    <row r="12" ht="30.0" customHeight="1">
      <c r="B12" s="37" t="s">
        <v>149</v>
      </c>
      <c r="C12" s="38" t="s">
        <v>150</v>
      </c>
      <c r="D12" s="39" t="s">
        <v>151</v>
      </c>
    </row>
    <row r="13" ht="30.0" customHeight="1">
      <c r="B13" s="37" t="s">
        <v>152</v>
      </c>
      <c r="C13" s="38" t="s">
        <v>153</v>
      </c>
      <c r="D13" s="39" t="s">
        <v>154</v>
      </c>
    </row>
    <row r="14" ht="30.0" customHeight="1">
      <c r="B14" s="37" t="s">
        <v>155</v>
      </c>
      <c r="C14" s="38" t="s">
        <v>156</v>
      </c>
      <c r="D14" s="39" t="s">
        <v>154</v>
      </c>
    </row>
    <row r="15" ht="30.0" customHeight="1">
      <c r="B15" s="37" t="s">
        <v>157</v>
      </c>
      <c r="C15" s="38" t="s">
        <v>158</v>
      </c>
      <c r="D15" s="39" t="s">
        <v>154</v>
      </c>
    </row>
    <row r="17">
      <c r="B17" s="18" t="s">
        <v>47</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 footer="0.0" header="0.0" left="0.6" right="0.6" top="0.7"/>
  <pageSetup fitToHeight="0" paperSize="9" orientation="portrait"/>
  <headerFooter>
    <oddFooter>&amp;L A Sure Valley Ventures founder resource · svv.ai · v1 · 2026&amp;R Page &amp;P of </oddFooter>
  </headerFooter>
  <drawing r:id="rId1"/>
</worksheet>
</file>