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w to use" sheetId="1" r:id="rId5"/>
    <sheet state="visible" name="Inputs" sheetId="2" r:id="rId6"/>
    <sheet state="visible" name="Round model" sheetId="3" r:id="rId7"/>
    <sheet state="visible" name="Post-round cap table" sheetId="4" r:id="rId8"/>
    <sheet state="visible" name="Scenarios" sheetId="5" r:id="rId9"/>
    <sheet state="visible" name="Definitions" sheetId="6" r:id="rId10"/>
  </sheets>
  <definedNames/>
  <calcPr/>
</workbook>
</file>

<file path=xl/sharedStrings.xml><?xml version="1.0" encoding="utf-8"?>
<sst xmlns="http://schemas.openxmlformats.org/spreadsheetml/2006/main" count="231" uniqueCount="192">
  <si>
    <t>● A FOUNDER RESOURCE FROM SURE VALLEY VENTURES</t>
  </si>
  <si>
    <t>Cap table and round model</t>
  </si>
  <si>
    <t>For pre-seed and seed-stage founders in the UK and Ireland · Version 1 · October 2026 · Worked example: Northlight AI Ltd (fictional)</t>
  </si>
  <si>
    <t>What this is for</t>
  </si>
  <si>
    <t>Work out, before you talk to investors, what a round does to your cap table: the price per share, how your convertibles (ASA, SAFE, convertible loan) convert, how the option pool is sized, and who owns what afterwards. Every number is a formula, so you can test pre-money, pool and cheque sizes in minutes.</t>
  </si>
  <si>
    <t>When the next investor asks for it</t>
  </si>
  <si>
    <t>Financial diligence. Investors rebuild every cap table they are sent, so the fully diluted table and the round maths should reconcile to the share count before the first meeting.</t>
  </si>
  <si>
    <t>How to fill it in</t>
  </si>
  <si>
    <t>→  Blue cells are yours to fill in; white cells calculate. Start by overwriting the example values (Northlight AI Ltd is fictional).</t>
  </si>
  <si>
    <t>→  Inputs tab: list every existing holder (including granted options and the unallocated pool), every convertible outstanding, the round (pre-money, new money, pool target) and the new investors.</t>
  </si>
  <si>
    <t>→  Round model tab: read the price per share, how each convertible converts (discount or cap) and the new pool shares. Nothing to type here.</t>
  </si>
  <si>
    <t>→  Post-round cap table tab: the table you will share, with ownership before and after and the dilution of each holder.</t>
  </si>
  <si>
    <t>→  Scenarios tab: founders' and lead's ownership at three pre-money values and three pool sizes.</t>
  </si>
  <si>
    <t>The 30-minute version</t>
  </si>
  <si>
    <t>→  Fill the holders table and the round block on the Inputs tab.</t>
  </si>
  <si>
    <t>→  Add any convertibles with their discount and cap.</t>
  </si>
  <si>
    <t>→  Read the Post-round cap table and the lead's ownership.</t>
  </si>
  <si>
    <t>The standard: what the next investor will test</t>
  </si>
  <si>
    <t>✓  A fully diluted cap table that reconciles to the share register and the option scheme.</t>
  </si>
  <si>
    <t>✓  Founders at or above 60% of the cap table before the round; no non-operating holder above 20%.</t>
  </si>
  <si>
    <t>✓  Convertibles modelled at the lower of discount price and cap price, with the conversion basis stated.</t>
  </si>
  <si>
    <t>✓  The option pool sized to the plan (the next twelve months of hires), not to a rule of thumb.</t>
  </si>
  <si>
    <t>✓  Price per share, pre-money and post-money that agree with the term sheet to the penny.</t>
  </si>
  <si>
    <t>Common mistakes</t>
  </si>
  <si>
    <t>✕  Forgetting that convertibles and the pool top-up dilute the existing holders, not the new money: the lead's % is cheque ÷ post-money whatever happens to the pool.</t>
  </si>
  <si>
    <t>✕  Counting granted options but not the unallocated pool, or the reverse.</t>
  </si>
  <si>
    <t>✕  Modelling a post-money SAFE (the Y Combinator form) with pre-money maths: it converts differently.</t>
  </si>
  <si>
    <t>✕  Agreeing a pool "of 10%" without saying whether it is pre- or post-money and whether existing unallocated options count.</t>
  </si>
  <si>
    <t>✕  Sending investors a cap table in a format they cannot recalculate.</t>
  </si>
  <si>
    <t>Tabs in this file</t>
  </si>
  <si>
    <t>•  Inputs — everything you type</t>
  </si>
  <si>
    <t>•  Round model — the maths, all formulas</t>
  </si>
  <si>
    <t>•  Post-round cap table — the table to share</t>
  </si>
  <si>
    <t>•  Scenarios — pre-money and pool sensitivities</t>
  </si>
  <si>
    <t>•  Definitions — the terms in plain English</t>
  </si>
  <si>
    <t>Blue cells</t>
  </si>
  <si>
    <t>– you fill in.   White cells with borders – calculated.   Teal rows – the fictional worked example, to overwrite.</t>
  </si>
  <si>
    <t>Not legal, tax or financial advice. Check anything with legal or tax consequences with your solicitor or accountant.</t>
  </si>
  <si>
    <t>A Sure Valley Ventures founder resource · svv.ai · v1 · 2026</t>
  </si>
  <si>
    <t>● EVERYTHING YOU TYPE IS ON THIS TAB</t>
  </si>
  <si>
    <t>Inputs</t>
  </si>
  <si>
    <t>Blue cells are yours. Shares are whole numbers; money in the currency you choose below.</t>
  </si>
  <si>
    <t>● THE TABLE YOU WILL SHARE</t>
  </si>
  <si>
    <t>Post-round cap table</t>
  </si>
  <si>
    <t>– you fill in.</t>
  </si>
  <si>
    <t>Before = today, fully diluted. After = the round completed, pool topped up, convertibles converted. Dilution shows what the round did to each existing holder.</t>
  </si>
  <si>
    <t>White cells</t>
  </si>
  <si>
    <t>Holder</t>
  </si>
  <si>
    <t>– calculated; do not type over them.</t>
  </si>
  <si>
    <t>● EXAMPLE · FICTIONAL COMPANY — Northlight AI Ltd. Overwrite every blue cell with your own numbers.</t>
  </si>
  <si>
    <t>Class / instrument</t>
  </si>
  <si>
    <t>Shares before</t>
  </si>
  <si>
    <t>% before</t>
  </si>
  <si>
    <t>Shares after</t>
  </si>
  <si>
    <t>% after</t>
  </si>
  <si>
    <t>● ALL FORMULAS – NOTHING TO TYPE HERE</t>
  </si>
  <si>
    <t>The company today, before the round: every holder on a fully diluted basis</t>
  </si>
  <si>
    <t>Round model</t>
  </si>
  <si>
    <t>Cash invested in this round</t>
  </si>
  <si>
    <t>Price per share paid</t>
  </si>
  <si>
    <t>Dilution from the round</t>
  </si>
  <si>
    <t>Pre-money method: the pre-money valuation covers every share outstanding before the new money, including the new pool and the converted notes. Convertibles take the lower of their discount price and their cap price. The cap price is cap ÷ (existing fully diluted shares + the new pool).</t>
  </si>
  <si>
    <t>Class</t>
  </si>
  <si>
    <t>Shares</t>
  </si>
  <si>
    <t>Founder?</t>
  </si>
  <si>
    <t>Notes</t>
  </si>
  <si>
    <t>Existing fully diluted shares (S)</t>
  </si>
  <si>
    <t>Maya Okoro (founder)</t>
  </si>
  <si>
    <t>Ordinary</t>
  </si>
  <si>
    <t>Yes</t>
  </si>
  <si>
    <t>PRICE PER SHARE</t>
  </si>
  <si>
    <t>Tomás Reilly (founder)</t>
  </si>
  <si>
    <t>Angel 1 (pre-seed, 2025)</t>
  </si>
  <si>
    <t>LEAD INVESTOR OWNERSHIP</t>
  </si>
  <si>
    <t>No</t>
  </si>
  <si>
    <t>Pre-seed angel, priced round</t>
  </si>
  <si>
    <t>EMI option pool (unallocated)</t>
  </si>
  <si>
    <t>of which unallocated pool (E)</t>
  </si>
  <si>
    <t>Unallocated pool</t>
  </si>
  <si>
    <t>EMI pool, not yet granted</t>
  </si>
  <si>
    <t>Total existing shares, fully diluted</t>
  </si>
  <si>
    <t>of which unallocated option pool</t>
  </si>
  <si>
    <t>● WHAT MOVES OWNERSHIP</t>
  </si>
  <si>
    <t>Scenarios</t>
  </si>
  <si>
    <t>Pre-money valuation</t>
  </si>
  <si>
    <t>The same closed-form maths as the Round model, with the final conversion methods held constant. Change the blue cells to test other values.</t>
  </si>
  <si>
    <t>of which founders' shares</t>
  </si>
  <si>
    <t>Founders' share of the cap table today</t>
  </si>
  <si>
    <t>POST-MONEY FULLY DILUTED SHARES</t>
  </si>
  <si>
    <t>A · Pre-money valuation</t>
  </si>
  <si>
    <t>FOUNDERS AFTER THE ROUND</t>
  </si>
  <si>
    <t>New money (I)</t>
  </si>
  <si>
    <t>Pre-money multiplier</t>
  </si>
  <si>
    <t>Investors expect founders at 60%+ before the round and no non-operating holder above 20%.</t>
  </si>
  <si>
    <t>Convertibles outstanding: ASA, SAFE or convertible loan (up to four)</t>
  </si>
  <si>
    <t>Instrument</t>
  </si>
  <si>
    <t>Amount invested</t>
  </si>
  <si>
    <t>Discount to the round price</t>
  </si>
  <si>
    <t>Valuation cap (pre-money)</t>
  </si>
  <si>
    <t>Angel syndicate ASA (Mar 2026)</t>
  </si>
  <si>
    <t>ASA</t>
  </si>
  <si>
    <t>Converts at the lower of discount price and cap price</t>
  </si>
  <si>
    <t>Leave the cap blank if the instrument has none. Discount 0% means it converts at the round price. A post-money SAFE (the Y Combinator 2018 form) converts on a different basis: ask your solicitor to confirm the basis before relying on this tab.</t>
  </si>
  <si>
    <t>Post-money valuation</t>
  </si>
  <si>
    <t>The round</t>
  </si>
  <si>
    <t>Round name</t>
  </si>
  <si>
    <t>Seed</t>
  </si>
  <si>
    <t>Currency symbol</t>
  </si>
  <si>
    <t>£</t>
  </si>
  <si>
    <t>Pool target after the round (t)</t>
  </si>
  <si>
    <t>New money in this round</t>
  </si>
  <si>
    <t>Step 1 · How each convertible converts (two passes: assume the discount, test the cap, settle)</t>
  </si>
  <si>
    <t>Option pool after the round, % of post-money fully diluted</t>
  </si>
  <si>
    <t>Includes the existing unallocated pool. Size it to the next twelve months of hires (see the hiring plan template), not to a rule of thumb.</t>
  </si>
  <si>
    <t>New investors in this round (up to six; put the lead first)</t>
  </si>
  <si>
    <t>Post-money fully diluted shares</t>
  </si>
  <si>
    <t>Investor</t>
  </si>
  <si>
    <t>Amount</t>
  </si>
  <si>
    <t>Lead?</t>
  </si>
  <si>
    <t>Lead investor</t>
  </si>
  <si>
    <t>Lead sets the price and the terms</t>
  </si>
  <si>
    <t>Co-investor fund</t>
  </si>
  <si>
    <t>New angels</t>
  </si>
  <si>
    <t>Discount</t>
  </si>
  <si>
    <t>Cap</t>
  </si>
  <si>
    <t>Discount term
A ÷ (post × (1−d))</t>
  </si>
  <si>
    <t>Cap term
A ÷ cap</t>
  </si>
  <si>
    <t>Method, pass 1</t>
  </si>
  <si>
    <t>Method, pass 2</t>
  </si>
  <si>
    <t>Final method</t>
  </si>
  <si>
    <t>Discount price</t>
  </si>
  <si>
    <t>Cap price</t>
  </si>
  <si>
    <t>Shares on conversion</t>
  </si>
  <si>
    <t>Effective price paid</t>
  </si>
  <si>
    <t>Total committed</t>
  </si>
  <si>
    <t>Check: do the investors add up to the new money?</t>
  </si>
  <si>
    <t>Price per share</t>
  </si>
  <si>
    <t>Founders combined, after the round</t>
  </si>
  <si>
    <t>Lead investor, after the round</t>
  </si>
  <si>
    <t>All new investors, after the round</t>
  </si>
  <si>
    <t>B · Option pool target (% of post-money fully diluted)</t>
  </si>
  <si>
    <t>Pool target</t>
  </si>
  <si>
    <t>Post-money fully diluted shares, pass 1 (all at discount)</t>
  </si>
  <si>
    <t>Why two passes: whether a note takes its discount or its cap depends on the round price, and the round price depends on how many shares the notes take. Pass 1 assumes every note converts at its discount; pass 2 tests each note against its cap at that price and recomputes; the final pass settles it. No circular references.</t>
  </si>
  <si>
    <t>New pool shares created</t>
  </si>
  <si>
    <t>Post-money fully diluted shares, pass 2</t>
  </si>
  <si>
    <t>Post-money fully diluted shares, final (T)</t>
  </si>
  <si>
    <t>● THE TERMS IN PLAIN ENGLISH</t>
  </si>
  <si>
    <t>Definitions</t>
  </si>
  <si>
    <t>What the company is agreed to be worth before the new money goes in. Price per share = pre-money ÷ the shares outstanding before the new money (including the new pool and the converted notes, under the pre-money method used here).</t>
  </si>
  <si>
    <t>Pre-money + new money. An investor's ownership after the round is their cheque ÷ post-money.</t>
  </si>
  <si>
    <t>Methods stable between pass 2 and final?</t>
  </si>
  <si>
    <t>Fully diluted</t>
  </si>
  <si>
    <t>Every share that exists or could exist: issued shares, granted options, the unallocated pool, warrants and convertibles as if converted. Investors price on a fully diluted basis.</t>
  </si>
  <si>
    <t>Option pool and the "pool shuffle"</t>
  </si>
  <si>
    <t>Investors usually ask for the pool to be topped up in the pre-money, so that the new shares dilute the existing holders rather than the incoming money. Size the pool to the next twelve months of hires and show the workings; a pool larger than the plan is a hidden price cut.</t>
  </si>
  <si>
    <t>A convertible converts at the round price less the discount (20% discount → 80% of the price).</t>
  </si>
  <si>
    <t>Valuation cap</t>
  </si>
  <si>
    <t>The maximum valuation at which the convertible converts. Here the cap price is cap ÷ (existing fully diluted shares + the new pool). The holder gets the lower of the discount price and the cap price.</t>
  </si>
  <si>
    <t>ASA / SAFE / convertible loan</t>
  </si>
  <si>
    <t>Three instruments that turn money today into shares in a later round. The conversion basis is in the document you signed: check it against this model, and ask your solicitor to confirm. A post-money SAFE (the Y Combinator form) fixes the holder's percentage of the post-conversion capitalisation and does not follow this tab's maths.</t>
  </si>
  <si>
    <t>Why convertibles dilute founders</t>
  </si>
  <si>
    <t>A note converts into shares priced below the round price, inside the pre-money. The new investors still get cheque ÷ post-money; the extra shares come out of the existing holders' share.</t>
  </si>
  <si>
    <t>Reconciliation</t>
  </si>
  <si>
    <t>Existing shares + new pool + converted shares + new investor shares must equal the post-money fully diluted shares. If the check says it does not reconcile, an input is wrong.</t>
  </si>
  <si>
    <t>What the next investor will test</t>
  </si>
  <si>
    <t>Founders at 60%+ before the round; no non-operating holder above 20%; every founder full-time; vesting signed; IP assigned; a pool that matches the hiring plan; a cap table that reconciles to the register.</t>
  </si>
  <si>
    <t>Not legal, tax or financial advice. Check the conversion basis and the pool mechanics in your documents with your solicitor.</t>
  </si>
  <si>
    <t>Step 2 · Price per share and the option pool</t>
  </si>
  <si>
    <t>Price per share in the round</t>
  </si>
  <si>
    <t>Post-money ÷ post-money fully diluted shares. Equal to pre-money ÷ (existing shares + new pool + converted notes).</t>
  </si>
  <si>
    <t>New option pool shares created (P)</t>
  </si>
  <si>
    <t>Read across: a bigger pool costs the founders, not the lead. The lead's ownership is cheque ÷ post-money in every column. Negotiate the pool size from the hiring plan, and the pre-money from the price the pool implies.</t>
  </si>
  <si>
    <t>Target % × T minus the pool you already have. Negative means your existing pool is already above the target: lower the target or keep the pool as it is.</t>
  </si>
  <si>
    <t>Pre-money fully diluted shares incl. the new pool (S + P)</t>
  </si>
  <si>
    <t>Total pool after the round (E + P), % of fully diluted</t>
  </si>
  <si>
    <t>Step 3 · New investors</t>
  </si>
  <si>
    <t>Shares issued</t>
  </si>
  <si>
    <t>% of post-money fully diluted</t>
  </si>
  <si>
    <t>Total new shares issued to investors</t>
  </si>
  <si>
    <t>An investor's ownership is always cheque ÷ post-money. The pool top-up and the converting notes dilute the existing holders, not the new money.</t>
  </si>
  <si>
    <t>Step 4 · Reconciliation</t>
  </si>
  <si>
    <t>Existing shares (S)</t>
  </si>
  <si>
    <t>+ new pool shares (P)</t>
  </si>
  <si>
    <t>+ shares to convertibles</t>
  </si>
  <si>
    <t>+ shares to new investors</t>
  </si>
  <si>
    <t>– post-money fully diluted shares</t>
  </si>
  <si>
    <t>Check against T</t>
  </si>
  <si>
    <t>Total</t>
  </si>
  <si>
    <t>Summary lines</t>
  </si>
  <si>
    <t>Option pool, after the round (granted + unallocated)</t>
  </si>
  <si>
    <t>Share counts are shown unrounded to the nearest share; the completion documents will round each holding to a whole share and adjust the price by a fraction of a penny. Granted options are counted as if exercised (fully diluted).</t>
  </si>
</sst>
</file>

<file path=xl/styles.xml><?xml version="1.0" encoding="utf-8"?>
<styleSheet xmlns="http://schemas.openxmlformats.org/spreadsheetml/2006/main" xmlns:x14ac="http://schemas.microsoft.com/office/spreadsheetml/2009/9/ac" xmlns:mc="http://schemas.openxmlformats.org/markup-compatibility/2006">
  <numFmts count="7">
    <numFmt numFmtId="164" formatCode="#,##0;\(#,##0\);\–"/>
    <numFmt numFmtId="165" formatCode="\£#,##0.0000"/>
    <numFmt numFmtId="166" formatCode="0.0%;\(0.0%\);\–"/>
    <numFmt numFmtId="167" formatCode="\£#,##0;&quot;(£&quot;#,##0\);\–"/>
    <numFmt numFmtId="168" formatCode="0.00\x"/>
    <numFmt numFmtId="169" formatCode="0%;\(0%\);\–"/>
    <numFmt numFmtId="170" formatCode="0.000000"/>
  </numFmts>
  <fonts count="19">
    <font>
      <sz val="11.0"/>
      <color theme="1"/>
      <name val="Calibri"/>
      <scheme val="minor"/>
    </font>
    <font>
      <b/>
      <sz val="8.0"/>
      <color rgb="FF0573AD"/>
      <name val="Inter"/>
    </font>
    <font>
      <b/>
      <sz val="22.0"/>
      <color rgb="FF0A1218"/>
      <name val="Inter"/>
    </font>
    <font>
      <sz val="9.0"/>
      <color rgb="FF646F79"/>
      <name val="Inter"/>
    </font>
    <font>
      <b/>
      <sz val="10.0"/>
      <color rgb="FF0A1218"/>
      <name val="Inter"/>
    </font>
    <font>
      <sz val="10.0"/>
      <color rgb="FF3D4A55"/>
      <name val="Inter"/>
    </font>
    <font>
      <sz val="11.0"/>
      <color theme="1"/>
      <name val="Calibri"/>
    </font>
    <font>
      <b/>
      <sz val="9.0"/>
      <color rgb="FF0A1218"/>
      <name val="Inter"/>
    </font>
    <font>
      <i/>
      <sz val="8.0"/>
      <color rgb="FF646F79"/>
      <name val="Inter"/>
    </font>
    <font>
      <sz val="7.0"/>
      <color rgb="FF646F79"/>
      <name val="Inter"/>
    </font>
    <font>
      <b/>
      <sz val="18.0"/>
      <color rgb="FF0A1218"/>
      <name val="Inter"/>
    </font>
    <font>
      <b/>
      <sz val="9.0"/>
      <color rgb="FFFFFFFF"/>
      <name val="Inter"/>
    </font>
    <font>
      <b/>
      <sz val="8.0"/>
      <color rgb="FF0573AD"/>
      <name val="Inter"/>
    </font>
    <font>
      <sz val="10.0"/>
      <color rgb="FF0A1218"/>
      <name val="Inter"/>
    </font>
    <font>
      <b/>
      <sz val="7.0"/>
      <color rgb="FF646F79"/>
      <name val="Inter"/>
    </font>
    <font>
      <b/>
      <sz val="18.0"/>
      <color rgb="FF0573AD"/>
      <name val="Inter"/>
    </font>
    <font>
      <b/>
      <sz val="8.0"/>
      <name val="Inter"/>
      <color rgb="FF14B1E7"/>
    </font>
    <font>
      <b/>
      <sz val="22.0"/>
      <name val="Inter"/>
      <color rgb="FFFFFFFF"/>
    </font>
    <font>
      <sz val="9.0"/>
      <name val="Inter"/>
      <color rgb="FFC9D4DA"/>
    </font>
  </fonts>
  <fills count="8">
    <fill>
      <patternFill patternType="none"/>
    </fill>
    <fill>
      <patternFill patternType="lightGray"/>
    </fill>
    <fill>
      <patternFill patternType="solid">
        <fgColor rgb="FFFBEBEB"/>
        <bgColor rgb="FFFBEBEB"/>
      </patternFill>
    </fill>
    <fill>
      <patternFill patternType="solid">
        <fgColor rgb="FFE2F5FC"/>
        <bgColor rgb="FFE2F5FC"/>
      </patternFill>
    </fill>
    <fill>
      <patternFill patternType="solid">
        <fgColor rgb="FF0A1218"/>
        <bgColor rgb="FF0A1218"/>
      </patternFill>
    </fill>
    <fill>
      <patternFill patternType="solid">
        <fgColor rgb="FFEEF2F4"/>
        <bgColor rgb="FFEEF2F4"/>
      </patternFill>
    </fill>
    <fill>
      <patternFill patternType="solid">
        <fgColor rgb="FFF3F5F6"/>
        <bgColor rgb="FFF3F5F6"/>
      </patternFill>
    </fill>
    <fill>
      <patternFill patternType="solid">
        <fgColor rgb="FF0A1218"/>
        <bgColor indexed="64"/>
      </patternFill>
    </fill>
  </fills>
  <borders count="6">
    <border/>
    <border>
      <left/>
      <right/>
      <top/>
      <bottom/>
    </border>
    <border>
      <left style="thin">
        <color rgb="FFDDE3E7"/>
      </left>
      <right style="thin">
        <color rgb="FFDDE3E7"/>
      </right>
      <top style="thin">
        <color rgb="FFDDE3E7"/>
      </top>
      <bottom style="dotted">
        <color rgb="FFC3CBD1"/>
      </bottom>
    </border>
    <border>
      <left style="thin">
        <color rgb="FFDDE3E7"/>
      </left>
      <right style="thin">
        <color rgb="FFDDE3E7"/>
      </right>
      <top style="thin">
        <color rgb="FFDDE3E7"/>
      </top>
      <bottom style="thin">
        <color rgb="FFDDE3E7"/>
      </bottom>
    </border>
    <border>
      <left style="thin">
        <color rgb="FF0A1218"/>
      </left>
      <right style="thin">
        <color rgb="FF0A1218"/>
      </right>
      <top/>
      <bottom/>
    </border>
    <border>
      <left/>
      <right/>
      <top style="thin">
        <color rgb="FFDDE3E7"/>
      </top>
      <bottom style="thin">
        <color rgb="FFDDE3E7"/>
      </bottom>
    </border>
  </borders>
  <cellStyleXfs count="1">
    <xf borderId="0" fillId="0" fontId="0" numFmtId="0" applyAlignment="1" applyFont="1"/>
  </cellStyleXfs>
  <cellXfs count="54">
    <xf borderId="0" fillId="0" fontId="0" numFmtId="0" xfId="0" applyAlignment="1" applyFont="1">
      <alignment readingOrder="0" shrinkToFit="0" vertical="bottom" wrapText="0"/>
    </xf>
    <xf borderId="0" fillId="0" fontId="1" numFmtId="0" xfId="0" applyAlignment="1" applyFont="1">
      <alignment shrinkToFit="0" vertical="bottom" wrapText="0"/>
    </xf>
    <xf borderId="0" fillId="0" fontId="2" numFmtId="0" xfId="0" applyAlignment="1" applyFont="1">
      <alignment shrinkToFit="0" vertical="bottom" wrapText="0"/>
    </xf>
    <xf borderId="0" fillId="0" fontId="3" numFmtId="0" xfId="0" applyAlignment="1" applyFont="1">
      <alignment shrinkToFit="0" vertical="bottom" wrapText="0"/>
    </xf>
    <xf borderId="0" fillId="0" fontId="4" numFmtId="0" xfId="0" applyAlignment="1" applyFont="1">
      <alignment horizontal="left" shrinkToFit="0" vertical="top" wrapText="1"/>
    </xf>
    <xf borderId="0" fillId="0" fontId="5" numFmtId="0" xfId="0" applyAlignment="1" applyFont="1">
      <alignment horizontal="left" shrinkToFit="0" vertical="top" wrapText="1"/>
    </xf>
    <xf borderId="1" fillId="2" fontId="4" numFmtId="0" xfId="0" applyAlignment="1" applyBorder="1" applyFill="1" applyFont="1">
      <alignment horizontal="left" shrinkToFit="0" vertical="top" wrapText="1"/>
    </xf>
    <xf borderId="1" fillId="2" fontId="5" numFmtId="0" xfId="0" applyAlignment="1" applyBorder="1" applyFill="1" applyFont="1">
      <alignment horizontal="left" shrinkToFit="0" vertical="top" wrapText="1"/>
    </xf>
    <xf borderId="1" fillId="2" fontId="6" numFmtId="0" xfId="0" applyAlignment="1" applyBorder="1" applyFill="1" applyFont="1">
      <alignment shrinkToFit="0" vertical="bottom" wrapText="0"/>
    </xf>
    <xf borderId="2" fillId="3" fontId="7" numFmtId="0" xfId="0" applyAlignment="1" applyBorder="1" applyFill="1" applyFont="1">
      <alignment horizontal="center" shrinkToFit="0" vertical="center" wrapText="1"/>
    </xf>
    <xf borderId="0" fillId="0" fontId="8" numFmtId="0" xfId="0" applyAlignment="1" applyFont="1">
      <alignment shrinkToFit="0" vertical="bottom" wrapText="0"/>
    </xf>
    <xf borderId="0" fillId="0" fontId="9" numFmtId="0" xfId="0" applyAlignment="1" applyFont="1">
      <alignment shrinkToFit="0" vertical="bottom" wrapText="0"/>
    </xf>
    <xf borderId="0" fillId="0" fontId="10" numFmtId="0" xfId="0" applyAlignment="1" applyFont="1">
      <alignment shrinkToFit="0" vertical="bottom" wrapText="0"/>
    </xf>
    <xf borderId="0" fillId="0" fontId="3" numFmtId="0" xfId="0" applyAlignment="1" applyFont="1">
      <alignment horizontal="left" shrinkToFit="0" vertical="top" wrapText="1"/>
    </xf>
    <xf borderId="0" fillId="0" fontId="3" numFmtId="0" xfId="0" applyAlignment="1" applyFont="1">
      <alignment horizontal="left" shrinkToFit="0" vertical="center" wrapText="0"/>
    </xf>
    <xf borderId="3" fillId="0" fontId="7" numFmtId="0" xfId="0" applyAlignment="1" applyBorder="1" applyFont="1">
      <alignment horizontal="center" shrinkToFit="0" vertical="center" wrapText="1"/>
    </xf>
    <xf borderId="4" fillId="4" fontId="11" numFmtId="0" xfId="0" applyAlignment="1" applyBorder="1" applyFill="1" applyFont="1">
      <alignment horizontal="left" shrinkToFit="0" vertical="center" wrapText="1"/>
    </xf>
    <xf borderId="1" fillId="5" fontId="12" numFmtId="0" xfId="0" applyAlignment="1" applyBorder="1" applyFill="1" applyFont="1">
      <alignment horizontal="left" shrinkToFit="0" vertical="center" wrapText="0"/>
    </xf>
    <xf borderId="1" fillId="5" fontId="6" numFmtId="0" xfId="0" applyAlignment="1" applyBorder="1" applyFill="1" applyFont="1">
      <alignment shrinkToFit="0" vertical="bottom" wrapText="0"/>
    </xf>
    <xf borderId="5" fillId="6" fontId="4" numFmtId="0" xfId="0" applyAlignment="1" applyBorder="1" applyFill="1" applyFont="1">
      <alignment horizontal="left" shrinkToFit="0" vertical="center" wrapText="0"/>
    </xf>
    <xf borderId="5" fillId="6" fontId="6" numFmtId="0" xfId="0" applyAlignment="1" applyBorder="1" applyFill="1" applyFont="1">
      <alignment shrinkToFit="0" vertical="bottom" wrapText="0"/>
    </xf>
    <xf borderId="0" fillId="0" fontId="13" numFmtId="0" xfId="0" applyAlignment="1" applyFont="1">
      <alignment horizontal="left" shrinkToFit="0" vertical="center" wrapText="1"/>
    </xf>
    <xf borderId="2" fillId="3" fontId="13" numFmtId="0" xfId="0" applyAlignment="1" applyBorder="1" applyFill="1" applyFont="1">
      <alignment horizontal="left" shrinkToFit="0" vertical="center" wrapText="1"/>
    </xf>
    <xf borderId="2" fillId="3" fontId="13" numFmtId="164" xfId="0" applyAlignment="1" applyBorder="1" applyFill="1" applyFont="1" applyNumberFormat="1">
      <alignment horizontal="right" shrinkToFit="0" vertical="center" wrapText="0"/>
    </xf>
    <xf borderId="3" fillId="0" fontId="13" numFmtId="0" xfId="0" applyAlignment="1" applyBorder="1" applyFont="1">
      <alignment horizontal="left" shrinkToFit="0" vertical="center" wrapText="1"/>
    </xf>
    <xf borderId="3" fillId="0" fontId="13" numFmtId="164" xfId="0" applyAlignment="1" applyBorder="1" applyFont="1" applyNumberFormat="1">
      <alignment horizontal="right" shrinkToFit="0" vertical="center" wrapText="0"/>
    </xf>
    <xf borderId="2" fillId="3" fontId="13" numFmtId="0" xfId="0" applyAlignment="1" applyBorder="1" applyFill="1" applyFont="1">
      <alignment horizontal="center" shrinkToFit="0" vertical="center" wrapText="1"/>
    </xf>
    <xf borderId="0" fillId="0" fontId="14" numFmtId="0" xfId="0" applyAlignment="1" applyFont="1">
      <alignment horizontal="left" shrinkToFit="0" vertical="bottom" wrapText="0"/>
    </xf>
    <xf borderId="0" fillId="0" fontId="4" numFmtId="0" xfId="0" applyAlignment="1" applyFont="1">
      <alignment horizontal="left" shrinkToFit="0" vertical="center" wrapText="1"/>
    </xf>
    <xf borderId="0" fillId="0" fontId="15" numFmtId="165" xfId="0" applyAlignment="1" applyFont="1" applyNumberFormat="1">
      <alignment horizontal="left" shrinkToFit="1" vertical="center" wrapText="0"/>
    </xf>
    <xf borderId="3" fillId="0" fontId="13" numFmtId="166" xfId="0" applyAlignment="1" applyBorder="1" applyFont="1" applyNumberFormat="1">
      <alignment horizontal="right" shrinkToFit="0" vertical="center" wrapText="0"/>
    </xf>
    <xf borderId="3" fillId="0" fontId="4" numFmtId="164" xfId="0" applyAlignment="1" applyBorder="1" applyFont="1" applyNumberFormat="1">
      <alignment horizontal="right" shrinkToFit="0" vertical="center" wrapText="0"/>
    </xf>
    <xf borderId="0" fillId="0" fontId="15" numFmtId="166" xfId="0" applyAlignment="1" applyFont="1" applyNumberFormat="1">
      <alignment horizontal="left" shrinkToFit="1" vertical="center" wrapText="0"/>
    </xf>
    <xf borderId="3" fillId="0" fontId="13" numFmtId="167" xfId="0" applyAlignment="1" applyBorder="1" applyFont="1" applyNumberFormat="1">
      <alignment horizontal="right" shrinkToFit="0" vertical="center" wrapText="0"/>
    </xf>
    <xf borderId="3" fillId="0" fontId="13" numFmtId="0" xfId="0" applyAlignment="1" applyBorder="1" applyFont="1">
      <alignment horizontal="center" shrinkToFit="0" vertical="center" wrapText="1"/>
    </xf>
    <xf borderId="0" fillId="0" fontId="8" numFmtId="0" xfId="0" applyAlignment="1" applyFont="1">
      <alignment horizontal="left" shrinkToFit="0" vertical="top" wrapText="1"/>
    </xf>
    <xf borderId="2" fillId="3" fontId="13" numFmtId="168" xfId="0" applyAlignment="1" applyBorder="1" applyFill="1" applyFont="1" applyNumberFormat="1">
      <alignment horizontal="right" shrinkToFit="0" vertical="center" wrapText="0"/>
    </xf>
    <xf borderId="0" fillId="0" fontId="15" numFmtId="164" xfId="0" applyAlignment="1" applyFont="1" applyNumberFormat="1">
      <alignment horizontal="left" shrinkToFit="1" vertical="center" wrapText="0"/>
    </xf>
    <xf borderId="2" fillId="3" fontId="13" numFmtId="167" xfId="0" applyAlignment="1" applyBorder="1" applyFill="1" applyFont="1" applyNumberFormat="1">
      <alignment horizontal="right" shrinkToFit="0" vertical="center" wrapText="0"/>
    </xf>
    <xf borderId="2" fillId="3" fontId="13" numFmtId="169" xfId="0" applyAlignment="1" applyBorder="1" applyFill="1" applyFont="1" applyNumberFormat="1">
      <alignment horizontal="right" shrinkToFit="0" vertical="center" wrapText="0"/>
    </xf>
    <xf borderId="3" fillId="0" fontId="13" numFmtId="169" xfId="0" applyAlignment="1" applyBorder="1" applyFont="1" applyNumberFormat="1">
      <alignment horizontal="right" shrinkToFit="0" vertical="center" wrapText="0"/>
    </xf>
    <xf borderId="3" fillId="0" fontId="4" numFmtId="167" xfId="0" applyAlignment="1" applyBorder="1" applyFont="1" applyNumberFormat="1">
      <alignment horizontal="right" shrinkToFit="0" vertical="center" wrapText="0"/>
    </xf>
    <xf borderId="3" fillId="0" fontId="4" numFmtId="0" xfId="0" applyAlignment="1" applyBorder="1" applyFont="1">
      <alignment horizontal="left" shrinkToFit="0" vertical="center" wrapText="1"/>
    </xf>
    <xf borderId="3" fillId="0" fontId="13" numFmtId="170" xfId="0" applyAlignment="1" applyBorder="1" applyFont="1" applyNumberFormat="1">
      <alignment horizontal="right" shrinkToFit="0" vertical="center" wrapText="0"/>
    </xf>
    <xf borderId="3" fillId="0" fontId="4" numFmtId="0" xfId="0" applyAlignment="1" applyBorder="1" applyFont="1">
      <alignment horizontal="center" shrinkToFit="0" vertical="center" wrapText="1"/>
    </xf>
    <xf borderId="3" fillId="0" fontId="13" numFmtId="165" xfId="0" applyAlignment="1" applyBorder="1" applyFont="1" applyNumberFormat="1">
      <alignment horizontal="right" shrinkToFit="0" vertical="center" wrapText="0"/>
    </xf>
    <xf borderId="3" fillId="0" fontId="4" numFmtId="166" xfId="0" applyAlignment="1" applyBorder="1" applyFont="1" applyNumberFormat="1">
      <alignment horizontal="right" shrinkToFit="0" vertical="center" wrapText="0"/>
    </xf>
    <xf borderId="0" fillId="0" fontId="13" numFmtId="0" xfId="0" applyAlignment="1" applyFont="1">
      <alignment horizontal="left" shrinkToFit="0" vertical="top" wrapText="1"/>
    </xf>
    <xf borderId="3" fillId="0" fontId="4" numFmtId="165" xfId="0" applyAlignment="1" applyBorder="1" applyFont="1" applyNumberFormat="1">
      <alignment horizontal="right" shrinkToFit="0" vertical="center" wrapText="0"/>
    </xf>
    <xf borderId="3" fillId="0" fontId="13" numFmtId="0" xfId="0" applyAlignment="1" applyBorder="1" applyFont="1">
      <alignment horizontal="right" shrinkToFit="0" vertical="center" wrapText="0"/>
    </xf>
    <xf borderId="0" fillId="7" fontId="0" numFmtId="0" xfId="0" applyAlignment="1" applyFont="1" applyFill="1">
      <alignment readingOrder="0" shrinkToFit="0" vertical="bottom" wrapText="0"/>
    </xf>
    <xf borderId="0" fillId="7" fontId="16" numFmtId="0" xfId="0" applyAlignment="1" applyFont="1" applyFill="1">
      <alignment shrinkToFit="0" vertical="bottom" wrapText="0"/>
    </xf>
    <xf borderId="0" fillId="7" fontId="17" numFmtId="0" xfId="0" applyAlignment="1" applyFont="1" applyFill="1">
      <alignment shrinkToFit="0" vertical="bottom" wrapText="0"/>
    </xf>
    <xf borderId="0" fillId="7" fontId="18" numFmtId="0" xfId="0" applyAlignment="1" applyFont="1" applyFill="1">
      <alignment shrinkToFit="0" vertical="bottom" wrapText="0"/>
    </xf>
  </cellXfs>
  <cellStyles count="1">
    <cellStyle xfId="0" name="Normal" builtinId="0"/>
  </cellStyles>
  <dxfs count="3">
    <dxf>
      <font>
        <b/>
        <color rgb="FF0573AD"/>
        <name val="Inter"/>
      </font>
      <fill>
        <patternFill patternType="solid">
          <fgColor rgb="FFEEF2F4"/>
          <bgColor rgb="FFEEF2F4"/>
        </patternFill>
      </fill>
      <border/>
    </dxf>
    <dxf>
      <font>
        <b/>
        <color rgb="FFB42B2B"/>
        <name val="Inter"/>
      </font>
      <fill>
        <patternFill patternType="solid">
          <fgColor rgb="FFFBEBEB"/>
          <bgColor rgb="FFFBEBEB"/>
        </patternFill>
      </fill>
      <border/>
    </dxf>
    <dxf>
      <font>
        <color rgb="FFC3CBD1"/>
        <name val="Inter"/>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10" Type="http://schemas.openxmlformats.org/officeDocument/2006/relationships/worksheet" Target="worksheets/sheet6.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3.0"/>
    <col customWidth="1" min="2" max="2" width="24.0"/>
    <col customWidth="1" min="3" max="3" width="100.0"/>
    <col customWidth="1" min="4" max="4" width="3.0"/>
    <col customWidth="1" min="5" max="26" width="8.71"/>
  </cols>
  <sheetData>
    <row r="1" ht="14" customHeight="1">
      <c r="A1" s="50"/>
      <c r="B1" s="50"/>
      <c r="C1" s="50"/>
      <c r="D1" s="50"/>
    </row>
    <row r="2">
      <c r="A2" s="50"/>
      <c r="B2" s="51" t="s">
        <v>0</v>
      </c>
      <c r="C2" s="50"/>
      <c r="D2" s="50"/>
    </row>
    <row r="3" ht="33.75" customHeight="1">
      <c r="A3" s="50"/>
      <c r="B3" s="52" t="s">
        <v>1</v>
      </c>
      <c r="C3" s="50"/>
      <c r="D3" s="50"/>
    </row>
    <row r="4">
      <c r="A4" s="50"/>
      <c r="B4" s="53" t="s">
        <v>2</v>
      </c>
      <c r="C4" s="50"/>
      <c r="D4" s="50"/>
    </row>
    <row r="5" ht="14" customHeight="1">
      <c r="A5" s="50"/>
      <c r="B5" s="50"/>
      <c r="C5" s="50"/>
      <c r="D5" s="50"/>
    </row>
    <row r="6" ht="60.0" customHeight="1">
      <c r="B6" s="4" t="s">
        <v>3</v>
      </c>
      <c r="C6" s="5" t="s">
        <v>4</v>
      </c>
    </row>
    <row r="8" ht="30.0" customHeight="1">
      <c r="B8" s="4" t="s">
        <v>5</v>
      </c>
      <c r="C8" s="5" t="s">
        <v>6</v>
      </c>
    </row>
    <row r="10" ht="30.0" customHeight="1">
      <c r="B10" s="4" t="s">
        <v>7</v>
      </c>
      <c r="C10" s="5" t="s">
        <v>8</v>
      </c>
    </row>
    <row r="11" ht="45.0" customHeight="1">
      <c r="C11" s="5" t="s">
        <v>9</v>
      </c>
    </row>
    <row r="12" ht="30.0" customHeight="1">
      <c r="C12" s="5" t="s">
        <v>10</v>
      </c>
    </row>
    <row r="13" ht="30.0" customHeight="1">
      <c r="C13" s="5" t="s">
        <v>11</v>
      </c>
    </row>
    <row r="14" ht="15.75" customHeight="1">
      <c r="C14" s="5" t="s">
        <v>12</v>
      </c>
    </row>
    <row r="16" ht="15.75" customHeight="1">
      <c r="B16" s="4" t="s">
        <v>13</v>
      </c>
      <c r="C16" s="5" t="s">
        <v>14</v>
      </c>
    </row>
    <row r="17" ht="15.75" customHeight="1">
      <c r="C17" s="5" t="s">
        <v>15</v>
      </c>
    </row>
    <row r="18" ht="15.75" customHeight="1">
      <c r="C18" s="5" t="s">
        <v>16</v>
      </c>
    </row>
    <row r="20" ht="15.75" customHeight="1">
      <c r="B20" s="4" t="s">
        <v>17</v>
      </c>
      <c r="C20" s="5" t="s">
        <v>18</v>
      </c>
    </row>
    <row r="21" ht="15.75" customHeight="1">
      <c r="C21" s="5" t="s">
        <v>19</v>
      </c>
    </row>
    <row r="22" ht="30.0" customHeight="1">
      <c r="C22" s="5" t="s">
        <v>20</v>
      </c>
    </row>
    <row r="23" ht="15.75" customHeight="1">
      <c r="C23" s="5" t="s">
        <v>21</v>
      </c>
    </row>
    <row r="24" ht="15.75" customHeight="1">
      <c r="C24" s="5" t="s">
        <v>22</v>
      </c>
    </row>
    <row r="25" ht="15.75" customHeight="1"/>
    <row r="26" ht="30.0" customHeight="1">
      <c r="B26" s="6" t="s">
        <v>23</v>
      </c>
      <c r="C26" s="7" t="s">
        <v>24</v>
      </c>
    </row>
    <row r="27" ht="15.75" customHeight="1">
      <c r="B27" s="8"/>
      <c r="C27" s="7" t="s">
        <v>25</v>
      </c>
    </row>
    <row r="28" ht="30.0" customHeight="1">
      <c r="B28" s="8"/>
      <c r="C28" s="7" t="s">
        <v>26</v>
      </c>
    </row>
    <row r="29" ht="30.0" customHeight="1">
      <c r="B29" s="8"/>
      <c r="C29" s="7" t="s">
        <v>27</v>
      </c>
    </row>
    <row r="30" ht="15.75" customHeight="1">
      <c r="B30" s="8"/>
      <c r="C30" s="7" t="s">
        <v>28</v>
      </c>
    </row>
    <row r="31" ht="15.75" customHeight="1"/>
    <row r="32" ht="15.75" customHeight="1">
      <c r="B32" s="4" t="s">
        <v>29</v>
      </c>
      <c r="C32" s="5" t="s">
        <v>30</v>
      </c>
    </row>
    <row r="33" ht="15.75" customHeight="1">
      <c r="C33" s="5" t="s">
        <v>31</v>
      </c>
    </row>
    <row r="34" ht="15.75" customHeight="1">
      <c r="C34" s="5" t="s">
        <v>32</v>
      </c>
    </row>
    <row r="35" ht="15.75" customHeight="1">
      <c r="C35" s="5" t="s">
        <v>33</v>
      </c>
    </row>
    <row r="36" ht="15.75" customHeight="1">
      <c r="C36" s="5" t="s">
        <v>34</v>
      </c>
    </row>
    <row r="37" ht="15.75" customHeight="1"/>
    <row r="38" ht="15.75" customHeight="1">
      <c r="B38" s="9" t="s">
        <v>35</v>
      </c>
      <c r="C38" s="3" t="s">
        <v>36</v>
      </c>
    </row>
    <row r="39" ht="15.75" customHeight="1"/>
    <row r="40" ht="15.75" customHeight="1">
      <c r="B40" s="10" t="s">
        <v>37</v>
      </c>
    </row>
    <row r="41" ht="15.75" customHeight="1">
      <c r="B41" s="11" t="s">
        <v>38</v>
      </c>
    </row>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 footer="0.0" header="0.0" left="0.6" right="0.6" top="0.7"/>
  <pageSetup fitToHeight="0" paperSize="9" orientation="portrait"/>
  <headerFooter>
    <oddFooter>&amp;L A Sure Valley Ventures founder resource · svv.ai · v1 · 2026&amp;R Page &amp;P of </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ySplit="4.0" topLeftCell="A5" activePane="bottomLeft" state="frozen"/>
      <selection activeCell="B6" sqref="B6" pane="bottomLeft"/>
    </sheetView>
  </sheetViews>
  <sheetFormatPr customHeight="1" defaultColWidth="14.43" defaultRowHeight="15.0"/>
  <cols>
    <col customWidth="1" min="1" max="1" width="2.0"/>
    <col customWidth="1" min="2" max="2" width="36.0"/>
    <col customWidth="1" min="3" max="3" width="20.0"/>
    <col customWidth="1" min="4" max="4" width="16.0"/>
    <col customWidth="1" min="5" max="5" width="14.0"/>
    <col customWidth="1" min="6" max="6" width="30.0"/>
    <col customWidth="1" min="7" max="7" width="40.0"/>
    <col customWidth="1" min="8" max="26" width="8.71"/>
  </cols>
  <sheetData>
    <row r="1" ht="13.5" customHeight="1">
      <c r="A1" s="1" t="s">
        <v>39</v>
      </c>
    </row>
    <row r="2" ht="27.75" customHeight="1">
      <c r="A2" s="12" t="s">
        <v>40</v>
      </c>
    </row>
    <row r="3" ht="31.5" customHeight="1">
      <c r="A3" s="13" t="s">
        <v>41</v>
      </c>
    </row>
    <row r="5" ht="18.0" customHeight="1">
      <c r="B5" s="9" t="s">
        <v>35</v>
      </c>
      <c r="C5" s="14" t="s">
        <v>44</v>
      </c>
      <c r="D5" s="15" t="s">
        <v>46</v>
      </c>
      <c r="E5" s="14" t="s">
        <v>48</v>
      </c>
    </row>
    <row r="7" ht="18.0" customHeight="1">
      <c r="B7" s="17" t="s">
        <v>49</v>
      </c>
      <c r="C7" s="18"/>
      <c r="D7" s="18"/>
      <c r="E7" s="18"/>
      <c r="F7" s="18"/>
      <c r="G7" s="18"/>
    </row>
    <row r="9" ht="18.0" customHeight="1">
      <c r="B9" s="19" t="s">
        <v>56</v>
      </c>
      <c r="C9" s="20"/>
      <c r="D9" s="20"/>
      <c r="E9" s="20"/>
      <c r="F9" s="20"/>
      <c r="G9" s="20"/>
    </row>
    <row r="10" ht="30.0" customHeight="1">
      <c r="B10" s="16" t="s">
        <v>47</v>
      </c>
      <c r="C10" s="16" t="s">
        <v>62</v>
      </c>
      <c r="D10" s="16" t="s">
        <v>63</v>
      </c>
      <c r="E10" s="16" t="s">
        <v>64</v>
      </c>
      <c r="F10" s="16" t="s">
        <v>65</v>
      </c>
    </row>
    <row r="11">
      <c r="B11" s="22" t="s">
        <v>67</v>
      </c>
      <c r="C11" s="22" t="s">
        <v>68</v>
      </c>
      <c r="D11" s="23">
        <v>4500000.0</v>
      </c>
      <c r="E11" s="26" t="s">
        <v>69</v>
      </c>
      <c r="F11" s="22"/>
    </row>
    <row r="12">
      <c r="B12" s="22" t="s">
        <v>71</v>
      </c>
      <c r="C12" s="22" t="s">
        <v>68</v>
      </c>
      <c r="D12" s="23">
        <v>4500000.0</v>
      </c>
      <c r="E12" s="26" t="s">
        <v>69</v>
      </c>
      <c r="F12" s="22"/>
    </row>
    <row r="13">
      <c r="B13" s="22" t="s">
        <v>72</v>
      </c>
      <c r="C13" s="22" t="s">
        <v>68</v>
      </c>
      <c r="D13" s="23">
        <v>500000.0</v>
      </c>
      <c r="E13" s="26" t="s">
        <v>74</v>
      </c>
      <c r="F13" s="22" t="s">
        <v>75</v>
      </c>
    </row>
    <row r="14">
      <c r="B14" s="22" t="s">
        <v>76</v>
      </c>
      <c r="C14" s="22" t="s">
        <v>78</v>
      </c>
      <c r="D14" s="23">
        <v>500000.0</v>
      </c>
      <c r="E14" s="26" t="s">
        <v>74</v>
      </c>
      <c r="F14" s="22" t="s">
        <v>79</v>
      </c>
    </row>
    <row r="15">
      <c r="B15" s="22"/>
      <c r="C15" s="22"/>
      <c r="D15" s="23"/>
      <c r="E15" s="22"/>
      <c r="F15" s="22"/>
    </row>
    <row r="16">
      <c r="B16" s="22"/>
      <c r="C16" s="22"/>
      <c r="D16" s="23"/>
      <c r="E16" s="22"/>
      <c r="F16" s="22"/>
    </row>
    <row r="17">
      <c r="B17" s="22"/>
      <c r="C17" s="22"/>
      <c r="D17" s="23"/>
      <c r="E17" s="22"/>
      <c r="F17" s="22"/>
    </row>
    <row r="18">
      <c r="B18" s="22"/>
      <c r="C18" s="22"/>
      <c r="D18" s="23"/>
      <c r="E18" s="22"/>
      <c r="F18" s="22"/>
    </row>
    <row r="19">
      <c r="B19" s="22"/>
      <c r="C19" s="22"/>
      <c r="D19" s="23"/>
      <c r="E19" s="22"/>
      <c r="F19" s="22"/>
    </row>
    <row r="20">
      <c r="B20" s="22"/>
      <c r="C20" s="22"/>
      <c r="D20" s="23"/>
      <c r="E20" s="22"/>
      <c r="F20" s="22"/>
    </row>
    <row r="21" ht="15.75" customHeight="1">
      <c r="B21" s="22"/>
      <c r="C21" s="22"/>
      <c r="D21" s="23"/>
      <c r="E21" s="22"/>
      <c r="F21" s="22"/>
    </row>
    <row r="22" ht="15.75" customHeight="1">
      <c r="B22" s="22"/>
      <c r="C22" s="22"/>
      <c r="D22" s="23"/>
      <c r="E22" s="22"/>
      <c r="F22" s="22"/>
    </row>
    <row r="23" ht="15.75" customHeight="1">
      <c r="B23" s="28" t="s">
        <v>80</v>
      </c>
      <c r="D23" s="31">
        <f>SUM(D11:D22)</f>
        <v>10000000</v>
      </c>
    </row>
    <row r="24" ht="15.75" customHeight="1">
      <c r="B24" s="21" t="s">
        <v>81</v>
      </c>
      <c r="D24" s="25">
        <f>SUMIF(C11:C22,"Unallocated pool",D11:D22)</f>
        <v>500000</v>
      </c>
    </row>
    <row r="25" ht="15.75" customHeight="1">
      <c r="B25" s="21" t="s">
        <v>86</v>
      </c>
      <c r="D25" s="25">
        <f>SUMIF(E11:E22,"Yes",D11:D22)</f>
        <v>9000000</v>
      </c>
    </row>
    <row r="26" ht="25.5" customHeight="1">
      <c r="B26" s="21" t="s">
        <v>87</v>
      </c>
      <c r="D26" s="30">
        <f>IFERROR($D$25/$D$23,0)</f>
        <v>0.9</v>
      </c>
      <c r="F26" s="35" t="s">
        <v>93</v>
      </c>
    </row>
    <row r="27" ht="15.75" customHeight="1"/>
    <row r="28" ht="18.0" customHeight="1">
      <c r="B28" s="19" t="s">
        <v>94</v>
      </c>
      <c r="C28" s="20"/>
      <c r="D28" s="20"/>
      <c r="E28" s="20"/>
      <c r="F28" s="20"/>
      <c r="G28" s="20"/>
    </row>
    <row r="29" ht="30.0" customHeight="1">
      <c r="B29" s="16" t="s">
        <v>47</v>
      </c>
      <c r="C29" s="16" t="s">
        <v>95</v>
      </c>
      <c r="D29" s="16" t="s">
        <v>96</v>
      </c>
      <c r="E29" s="16" t="s">
        <v>97</v>
      </c>
      <c r="F29" s="16" t="s">
        <v>98</v>
      </c>
      <c r="G29" s="16" t="s">
        <v>65</v>
      </c>
    </row>
    <row r="30" ht="15.75" customHeight="1">
      <c r="B30" s="22" t="s">
        <v>99</v>
      </c>
      <c r="C30" s="22" t="s">
        <v>100</v>
      </c>
      <c r="D30" s="38">
        <v>300000.0</v>
      </c>
      <c r="E30" s="39">
        <v>0.2</v>
      </c>
      <c r="F30" s="38">
        <v>5000000.0</v>
      </c>
      <c r="G30" s="22" t="s">
        <v>101</v>
      </c>
    </row>
    <row r="31" ht="15.75" customHeight="1">
      <c r="B31" s="22"/>
      <c r="C31" s="22"/>
      <c r="D31" s="38"/>
      <c r="E31" s="39"/>
      <c r="F31" s="38"/>
      <c r="G31" s="22"/>
    </row>
    <row r="32" ht="15.75" customHeight="1">
      <c r="B32" s="22"/>
      <c r="C32" s="22"/>
      <c r="D32" s="38"/>
      <c r="E32" s="39"/>
      <c r="F32" s="38"/>
      <c r="G32" s="22"/>
    </row>
    <row r="33" ht="15.75" customHeight="1">
      <c r="B33" s="22"/>
      <c r="C33" s="22"/>
      <c r="D33" s="38"/>
      <c r="E33" s="39"/>
      <c r="F33" s="38"/>
      <c r="G33" s="22"/>
    </row>
    <row r="34" ht="30.0" customHeight="1">
      <c r="B34" s="35" t="s">
        <v>102</v>
      </c>
    </row>
    <row r="35" ht="15.75" customHeight="1"/>
    <row r="36" ht="18.0" customHeight="1">
      <c r="B36" s="19" t="s">
        <v>104</v>
      </c>
      <c r="C36" s="20"/>
      <c r="D36" s="20"/>
      <c r="E36" s="20"/>
      <c r="F36" s="20"/>
      <c r="G36" s="20"/>
    </row>
    <row r="37" ht="15.75" customHeight="1">
      <c r="B37" s="21" t="s">
        <v>105</v>
      </c>
      <c r="C37" s="22" t="s">
        <v>106</v>
      </c>
    </row>
    <row r="38" ht="15.75" customHeight="1">
      <c r="B38" s="21" t="s">
        <v>107</v>
      </c>
      <c r="C38" s="26" t="s">
        <v>108</v>
      </c>
    </row>
    <row r="39" ht="15.75" customHeight="1">
      <c r="B39" s="21" t="s">
        <v>84</v>
      </c>
      <c r="C39" s="38">
        <v>6000000.0</v>
      </c>
    </row>
    <row r="40" ht="15.75" customHeight="1">
      <c r="B40" s="21" t="s">
        <v>110</v>
      </c>
      <c r="C40" s="38">
        <v>1500000.0</v>
      </c>
    </row>
    <row r="41" ht="15.75" customHeight="1">
      <c r="B41" s="28" t="s">
        <v>103</v>
      </c>
      <c r="C41" s="41">
        <f>C39+C40</f>
        <v>7500000</v>
      </c>
    </row>
    <row r="42" ht="30.0" customHeight="1">
      <c r="B42" s="21" t="s">
        <v>112</v>
      </c>
      <c r="C42" s="39">
        <v>0.1</v>
      </c>
      <c r="E42" s="35" t="s">
        <v>113</v>
      </c>
    </row>
    <row r="43" ht="15.75" customHeight="1"/>
    <row r="44" ht="18.0" customHeight="1">
      <c r="B44" s="19" t="s">
        <v>114</v>
      </c>
      <c r="C44" s="20"/>
      <c r="D44" s="20"/>
      <c r="E44" s="20"/>
      <c r="F44" s="20"/>
      <c r="G44" s="20"/>
    </row>
    <row r="45" ht="30.0" customHeight="1">
      <c r="B45" s="16" t="s">
        <v>116</v>
      </c>
      <c r="C45" s="16" t="s">
        <v>117</v>
      </c>
      <c r="D45" s="16" t="s">
        <v>118</v>
      </c>
      <c r="E45" s="16" t="s">
        <v>65</v>
      </c>
    </row>
    <row r="46" ht="15.75" customHeight="1">
      <c r="B46" s="22" t="s">
        <v>119</v>
      </c>
      <c r="C46" s="38">
        <v>750000.0</v>
      </c>
      <c r="D46" s="26" t="s">
        <v>69</v>
      </c>
      <c r="E46" s="22" t="s">
        <v>120</v>
      </c>
    </row>
    <row r="47" ht="15.75" customHeight="1">
      <c r="B47" s="22" t="s">
        <v>121</v>
      </c>
      <c r="C47" s="38">
        <v>500000.0</v>
      </c>
      <c r="D47" s="26" t="s">
        <v>74</v>
      </c>
      <c r="E47" s="22"/>
    </row>
    <row r="48" ht="15.75" customHeight="1">
      <c r="B48" s="22" t="s">
        <v>122</v>
      </c>
      <c r="C48" s="38">
        <v>250000.0</v>
      </c>
      <c r="D48" s="26" t="s">
        <v>74</v>
      </c>
      <c r="E48" s="22"/>
    </row>
    <row r="49" ht="15.75" customHeight="1">
      <c r="B49" s="22"/>
      <c r="C49" s="38"/>
      <c r="D49" s="26"/>
      <c r="E49" s="22"/>
    </row>
    <row r="50" ht="15.75" customHeight="1">
      <c r="B50" s="22"/>
      <c r="C50" s="38"/>
      <c r="D50" s="26"/>
      <c r="E50" s="22"/>
    </row>
    <row r="51" ht="15.75" customHeight="1">
      <c r="B51" s="22"/>
      <c r="C51" s="38"/>
      <c r="D51" s="26"/>
      <c r="E51" s="22"/>
    </row>
    <row r="52" ht="15.75" customHeight="1">
      <c r="B52" s="28" t="s">
        <v>134</v>
      </c>
      <c r="C52" s="41">
        <f>SUM(C46:C51)</f>
        <v>1500000</v>
      </c>
    </row>
    <row r="53" ht="15.75" customHeight="1">
      <c r="B53" s="21" t="s">
        <v>135</v>
      </c>
      <c r="C53" s="42" t="str">
        <f>IF(ABS(C52-C40)&lt;1,"Yes","No – fix the amounts")</f>
        <v>Yes</v>
      </c>
    </row>
    <row r="54" ht="15.75" customHeight="1"/>
    <row r="55" ht="15.75" customHeight="1">
      <c r="B55" s="11" t="s">
        <v>38</v>
      </c>
    </row>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3:F3"/>
    <mergeCell ref="F26:G26"/>
    <mergeCell ref="B34:G34"/>
    <mergeCell ref="E42:G42"/>
  </mergeCells>
  <conditionalFormatting sqref="C53">
    <cfRule type="cellIs" dxfId="0" priority="1" operator="equal">
      <formula>"Yes"</formula>
    </cfRule>
  </conditionalFormatting>
  <conditionalFormatting sqref="C53">
    <cfRule type="cellIs" dxfId="1" priority="2" operator="notEqual">
      <formula>"Yes"</formula>
    </cfRule>
  </conditionalFormatting>
  <dataValidations>
    <dataValidation type="list" allowBlank="1" sqref="C30:C33">
      <formula1>"ASA,SAFE (pre-money),Convertible loan,Other"</formula1>
    </dataValidation>
    <dataValidation type="list" allowBlank="1" sqref="C11:C22">
      <formula1>"Ordinary,Preferred,Options (granted),Unallocated pool,Warrants,Growth shares"</formula1>
    </dataValidation>
    <dataValidation type="list" allowBlank="1" sqref="E11:E22 D46:D51">
      <formula1>"Yes,No"</formula1>
    </dataValidation>
  </dataValidations>
  <printOptions/>
  <pageMargins bottom="0.7" footer="0.0" header="0.0" left="0.6" right="0.6" top="0.7"/>
  <pageSetup fitToHeight="0" paperSize="9" orientation="portrait"/>
  <headerFooter>
    <oddFooter>&amp;L A Sure Valley Ventures founder resource · svv.ai · v1 · 2026&amp;R Page &amp;P of </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ySplit="4.0" topLeftCell="A5" activePane="bottomLeft" state="frozen"/>
      <selection activeCell="B6" sqref="B6" pane="bottomLeft"/>
    </sheetView>
  </sheetViews>
  <sheetFormatPr customHeight="1" defaultColWidth="14.43" defaultRowHeight="15.0"/>
  <cols>
    <col customWidth="1" min="1" max="1" width="2.0"/>
    <col customWidth="1" min="2" max="2" width="44.0"/>
    <col customWidth="1" min="3" max="3" width="16.0"/>
    <col customWidth="1" min="4" max="4" width="11.0"/>
    <col customWidth="1" min="5" max="6" width="14.0"/>
    <col customWidth="1" min="7" max="12" width="12.0"/>
    <col customWidth="1" min="13" max="13" width="14.0"/>
    <col customWidth="1" min="14" max="14" width="13.0"/>
    <col customWidth="1" min="15" max="26" width="8.71"/>
  </cols>
  <sheetData>
    <row r="1" ht="13.5" customHeight="1">
      <c r="A1" s="1" t="s">
        <v>55</v>
      </c>
    </row>
    <row r="2" ht="27.75" customHeight="1">
      <c r="A2" s="12" t="s">
        <v>57</v>
      </c>
    </row>
    <row r="3" ht="45.75" customHeight="1">
      <c r="A3" s="13" t="s">
        <v>61</v>
      </c>
    </row>
    <row r="5" ht="12.75" customHeight="1">
      <c r="B5" s="21" t="s">
        <v>66</v>
      </c>
      <c r="C5" s="25">
        <f>Inputs!$D$23</f>
        <v>10000000</v>
      </c>
      <c r="I5" s="27" t="s">
        <v>70</v>
      </c>
      <c r="L5" s="27" t="s">
        <v>73</v>
      </c>
    </row>
    <row r="6" ht="27.75" customHeight="1">
      <c r="B6" s="21" t="s">
        <v>77</v>
      </c>
      <c r="C6" s="25">
        <f>Inputs!$D$24</f>
        <v>500000</v>
      </c>
      <c r="I6" s="29">
        <f>$C$25</f>
        <v>0.5131578947</v>
      </c>
      <c r="L6" s="32">
        <f t="array" ref="L6">IFERROR(INDEX(F32:F37,MATCH("Yes",G32:G37,0)),0)</f>
        <v>0.1</v>
      </c>
    </row>
    <row r="7" ht="12.75" customHeight="1">
      <c r="B7" s="21" t="s">
        <v>84</v>
      </c>
      <c r="C7" s="33">
        <f>Inputs!$C$39</f>
        <v>6000000</v>
      </c>
      <c r="I7" s="27" t="s">
        <v>88</v>
      </c>
      <c r="L7" s="27" t="s">
        <v>90</v>
      </c>
    </row>
    <row r="8" ht="27.75" customHeight="1">
      <c r="B8" s="21" t="s">
        <v>91</v>
      </c>
      <c r="C8" s="33">
        <f>Inputs!$C$40</f>
        <v>1500000</v>
      </c>
      <c r="I8" s="37">
        <f>$C$21</f>
        <v>14615384.62</v>
      </c>
      <c r="L8" s="32">
        <f>Inputs!$D$25/$C$21</f>
        <v>0.6157894737</v>
      </c>
    </row>
    <row r="9">
      <c r="B9" s="21" t="s">
        <v>103</v>
      </c>
      <c r="C9" s="33">
        <f>Inputs!$C$41</f>
        <v>7500000</v>
      </c>
    </row>
    <row r="10">
      <c r="B10" s="21" t="s">
        <v>109</v>
      </c>
      <c r="C10" s="40">
        <f>Inputs!$C$42</f>
        <v>0.1</v>
      </c>
    </row>
    <row r="12" ht="18.0" customHeight="1">
      <c r="B12" s="19" t="s">
        <v>111</v>
      </c>
      <c r="C12" s="20"/>
      <c r="D12" s="20"/>
      <c r="E12" s="20"/>
      <c r="F12" s="20"/>
      <c r="G12" s="20"/>
      <c r="H12" s="20"/>
      <c r="I12" s="20"/>
      <c r="J12" s="20"/>
      <c r="K12" s="20"/>
      <c r="L12" s="20"/>
      <c r="M12" s="20"/>
      <c r="N12" s="20"/>
    </row>
    <row r="13" ht="42.0" customHeight="1">
      <c r="B13" s="16" t="s">
        <v>47</v>
      </c>
      <c r="C13" s="16" t="s">
        <v>117</v>
      </c>
      <c r="D13" s="16" t="s">
        <v>123</v>
      </c>
      <c r="E13" s="16" t="s">
        <v>124</v>
      </c>
      <c r="F13" s="16" t="s">
        <v>125</v>
      </c>
      <c r="G13" s="16" t="s">
        <v>126</v>
      </c>
      <c r="H13" s="16" t="s">
        <v>127</v>
      </c>
      <c r="I13" s="16" t="s">
        <v>128</v>
      </c>
      <c r="J13" s="16" t="s">
        <v>129</v>
      </c>
      <c r="K13" s="16" t="s">
        <v>130</v>
      </c>
      <c r="L13" s="16" t="s">
        <v>131</v>
      </c>
      <c r="M13" s="16" t="s">
        <v>132</v>
      </c>
      <c r="N13" s="16" t="s">
        <v>133</v>
      </c>
    </row>
    <row r="14">
      <c r="B14" s="24" t="str">
        <f>IF(Inputs!B30="","–",Inputs!B30)</f>
        <v>Angel syndicate ASA (Mar 2026)</v>
      </c>
      <c r="C14" s="33">
        <f>IF(Inputs!D30="",0,Inputs!D30)</f>
        <v>300000</v>
      </c>
      <c r="D14" s="40">
        <f>IF(Inputs!E30="",0,Inputs!E30)</f>
        <v>0.2</v>
      </c>
      <c r="E14" s="33">
        <f>IF(Inputs!F30="",0,Inputs!F30)</f>
        <v>5000000</v>
      </c>
      <c r="F14" s="43">
        <f t="shared" ref="F14:F17" si="1">IF(C14&gt;0,C14/($C$9*(1-D14)),0)</f>
        <v>0.05</v>
      </c>
      <c r="G14" s="43">
        <f t="shared" ref="G14:G17" si="2">IF(AND(C14&gt;0,E14&gt;0),C14/E14,0)</f>
        <v>0.06</v>
      </c>
      <c r="H14" s="34" t="str">
        <f t="shared" ref="H14:H17" si="3">IF(C14&gt;0,"Discount","–")</f>
        <v>Discount</v>
      </c>
      <c r="I14" s="34" t="str">
        <f t="shared" ref="I14:I17" si="4">IF(C14=0,"–",IF(AND(E14&gt;0,E14/($C$5-$C$6+$C$10*$C$19)&lt;$C$9*(1-D14)/$C$19),"Cap","Discount"))</f>
        <v>Discount</v>
      </c>
      <c r="J14" s="44" t="str">
        <f t="shared" ref="J14:J17" si="5">IF(C14=0,"–",IF(AND(E14&gt;0,E14/($C$5-$C$6+$C$10*$C$20)&lt;$C$9*(1-D14)/$C$20),"Cap","Discount"))</f>
        <v>Discount</v>
      </c>
      <c r="K14" s="45">
        <f t="shared" ref="K14:K17" si="6">IF(C14=0,"–",$C$25*(1-D14))</f>
        <v>0.4105263158</v>
      </c>
      <c r="L14" s="45">
        <f t="shared" ref="L14:L17" si="7">IF(OR(C14=0,E14=0),"–",E14/$C$27)</f>
        <v>0.4561403509</v>
      </c>
      <c r="M14" s="31">
        <f t="shared" ref="M14:M17" si="8">IF(C14=0,0,IF(J14="Cap",C14/L14,C14/K14))</f>
        <v>730769.2308</v>
      </c>
      <c r="N14" s="45">
        <f t="shared" ref="N14:N17" si="9">IF(M14&gt;0,C14/M14,"–")</f>
        <v>0.4105263158</v>
      </c>
    </row>
    <row r="15">
      <c r="B15" s="24" t="str">
        <f>IF(Inputs!B31="","–",Inputs!B31)</f>
        <v>–</v>
      </c>
      <c r="C15" s="33">
        <f>IF(Inputs!D31="",0,Inputs!D31)</f>
        <v>0</v>
      </c>
      <c r="D15" s="40">
        <f>IF(Inputs!E31="",0,Inputs!E31)</f>
        <v>0</v>
      </c>
      <c r="E15" s="33">
        <f>IF(Inputs!F31="",0,Inputs!F31)</f>
        <v>0</v>
      </c>
      <c r="F15" s="43">
        <f t="shared" si="1"/>
        <v>0</v>
      </c>
      <c r="G15" s="43">
        <f t="shared" si="2"/>
        <v>0</v>
      </c>
      <c r="H15" s="34" t="str">
        <f t="shared" si="3"/>
        <v>–</v>
      </c>
      <c r="I15" s="34" t="str">
        <f t="shared" si="4"/>
        <v>–</v>
      </c>
      <c r="J15" s="44" t="str">
        <f t="shared" si="5"/>
        <v>–</v>
      </c>
      <c r="K15" s="45" t="str">
        <f t="shared" si="6"/>
        <v>–</v>
      </c>
      <c r="L15" s="45" t="str">
        <f t="shared" si="7"/>
        <v>–</v>
      </c>
      <c r="M15" s="31">
        <f t="shared" si="8"/>
        <v>0</v>
      </c>
      <c r="N15" s="45" t="str">
        <f t="shared" si="9"/>
        <v>–</v>
      </c>
    </row>
    <row r="16">
      <c r="B16" s="24" t="str">
        <f>IF(Inputs!B32="","–",Inputs!B32)</f>
        <v>–</v>
      </c>
      <c r="C16" s="33">
        <f>IF(Inputs!D32="",0,Inputs!D32)</f>
        <v>0</v>
      </c>
      <c r="D16" s="40">
        <f>IF(Inputs!E32="",0,Inputs!E32)</f>
        <v>0</v>
      </c>
      <c r="E16" s="33">
        <f>IF(Inputs!F32="",0,Inputs!F32)</f>
        <v>0</v>
      </c>
      <c r="F16" s="43">
        <f t="shared" si="1"/>
        <v>0</v>
      </c>
      <c r="G16" s="43">
        <f t="shared" si="2"/>
        <v>0</v>
      </c>
      <c r="H16" s="34" t="str">
        <f t="shared" si="3"/>
        <v>–</v>
      </c>
      <c r="I16" s="34" t="str">
        <f t="shared" si="4"/>
        <v>–</v>
      </c>
      <c r="J16" s="44" t="str">
        <f t="shared" si="5"/>
        <v>–</v>
      </c>
      <c r="K16" s="45" t="str">
        <f t="shared" si="6"/>
        <v>–</v>
      </c>
      <c r="L16" s="45" t="str">
        <f t="shared" si="7"/>
        <v>–</v>
      </c>
      <c r="M16" s="31">
        <f t="shared" si="8"/>
        <v>0</v>
      </c>
      <c r="N16" s="45" t="str">
        <f t="shared" si="9"/>
        <v>–</v>
      </c>
    </row>
    <row r="17">
      <c r="B17" s="24" t="str">
        <f>IF(Inputs!B33="","–",Inputs!B33)</f>
        <v>–</v>
      </c>
      <c r="C17" s="33">
        <f>IF(Inputs!D33="",0,Inputs!D33)</f>
        <v>0</v>
      </c>
      <c r="D17" s="40">
        <f>IF(Inputs!E33="",0,Inputs!E33)</f>
        <v>0</v>
      </c>
      <c r="E17" s="33">
        <f>IF(Inputs!F33="",0,Inputs!F33)</f>
        <v>0</v>
      </c>
      <c r="F17" s="43">
        <f t="shared" si="1"/>
        <v>0</v>
      </c>
      <c r="G17" s="43">
        <f t="shared" si="2"/>
        <v>0</v>
      </c>
      <c r="H17" s="34" t="str">
        <f t="shared" si="3"/>
        <v>–</v>
      </c>
      <c r="I17" s="34" t="str">
        <f t="shared" si="4"/>
        <v>–</v>
      </c>
      <c r="J17" s="44" t="str">
        <f t="shared" si="5"/>
        <v>–</v>
      </c>
      <c r="K17" s="45" t="str">
        <f t="shared" si="6"/>
        <v>–</v>
      </c>
      <c r="L17" s="45" t="str">
        <f t="shared" si="7"/>
        <v>–</v>
      </c>
      <c r="M17" s="31">
        <f t="shared" si="8"/>
        <v>0</v>
      </c>
      <c r="N17" s="45" t="str">
        <f t="shared" si="9"/>
        <v>–</v>
      </c>
    </row>
    <row r="19" ht="24.75" customHeight="1">
      <c r="B19" s="21" t="s">
        <v>142</v>
      </c>
      <c r="C19" s="25">
        <f>($C$5-$C$6)*(1+SUMPRODUCT((H14:H17="Cap")*G14:G17))/(1-$C$10-$C$8/$C$9-SUMPRODUCT((H14:H17="Discount")*F14:F17)-$C$10*SUMPRODUCT((H14:H17="Cap")*G14:G17))</f>
        <v>14615384.62</v>
      </c>
      <c r="E19" s="35" t="s">
        <v>143</v>
      </c>
    </row>
    <row r="20">
      <c r="B20" s="21" t="s">
        <v>145</v>
      </c>
      <c r="C20" s="25">
        <f>($C$5-$C$6)*(1+SUMPRODUCT((I14:I17="Cap")*G14:G17))/(1-$C$10-$C$8/$C$9-SUMPRODUCT((I14:I17="Discount")*F14:F17)-$C$10*SUMPRODUCT((I14:I17="Cap")*G14:G17))</f>
        <v>14615384.62</v>
      </c>
    </row>
    <row r="21" ht="15.75" customHeight="1">
      <c r="B21" s="28" t="s">
        <v>146</v>
      </c>
      <c r="C21" s="31">
        <f>($C$5-$C$6)*(1+SUMPRODUCT((J14:J17="Cap")*G14:G17))/(1-$C$10-$C$8/$C$9-SUMPRODUCT((J14:J17="Discount")*F14:F17)-$C$10*SUMPRODUCT((J14:J17="Cap")*G14:G17))</f>
        <v>14615384.62</v>
      </c>
    </row>
    <row r="22" ht="15.75" customHeight="1">
      <c r="B22" s="21" t="s">
        <v>151</v>
      </c>
      <c r="C22" s="24" t="str">
        <f>IF(SUMPRODUCT((I14:I17&lt;&gt;J14:J17)*1)=0,"Yes","No – check")</f>
        <v>Yes</v>
      </c>
    </row>
    <row r="23" ht="15.75" customHeight="1"/>
    <row r="24" ht="18.0" customHeight="1">
      <c r="B24" s="19" t="s">
        <v>168</v>
      </c>
      <c r="C24" s="20"/>
      <c r="D24" s="20"/>
      <c r="E24" s="20"/>
      <c r="F24" s="20"/>
      <c r="G24" s="20"/>
      <c r="H24" s="20"/>
      <c r="I24" s="20"/>
      <c r="J24" s="20"/>
      <c r="K24" s="20"/>
      <c r="L24" s="20"/>
      <c r="M24" s="20"/>
      <c r="N24" s="20"/>
    </row>
    <row r="25" ht="15.0" customHeight="1">
      <c r="B25" s="28" t="s">
        <v>169</v>
      </c>
      <c r="C25" s="48">
        <f>$C$9/$C$21</f>
        <v>0.5131578947</v>
      </c>
      <c r="E25" s="35" t="s">
        <v>170</v>
      </c>
    </row>
    <row r="26" ht="15.0" customHeight="1">
      <c r="B26" s="21" t="s">
        <v>171</v>
      </c>
      <c r="C26" s="25">
        <f>$C$10*$C$21-$C$6</f>
        <v>961538.4615</v>
      </c>
      <c r="E26" s="35" t="s">
        <v>173</v>
      </c>
    </row>
    <row r="27" ht="15.75" customHeight="1">
      <c r="B27" s="21" t="s">
        <v>174</v>
      </c>
      <c r="C27" s="25">
        <f>$C$5+$C$26</f>
        <v>10961538.46</v>
      </c>
    </row>
    <row r="28" ht="15.75" customHeight="1">
      <c r="B28" s="21" t="s">
        <v>175</v>
      </c>
      <c r="C28" s="30">
        <f>($C$6+$C$26)/$C$21</f>
        <v>0.1</v>
      </c>
    </row>
    <row r="29" ht="15.75" customHeight="1"/>
    <row r="30" ht="18.0" customHeight="1">
      <c r="B30" s="19" t="s">
        <v>176</v>
      </c>
      <c r="C30" s="20"/>
      <c r="D30" s="20"/>
      <c r="E30" s="20"/>
      <c r="F30" s="20"/>
      <c r="G30" s="20"/>
      <c r="H30" s="20"/>
      <c r="I30" s="20"/>
      <c r="J30" s="20"/>
      <c r="K30" s="20"/>
      <c r="L30" s="20"/>
      <c r="M30" s="20"/>
      <c r="N30" s="20"/>
    </row>
    <row r="31" ht="30.0" customHeight="1">
      <c r="B31" s="16" t="s">
        <v>116</v>
      </c>
      <c r="C31" s="16" t="s">
        <v>117</v>
      </c>
      <c r="D31" s="16" t="s">
        <v>136</v>
      </c>
      <c r="E31" s="16" t="s">
        <v>177</v>
      </c>
      <c r="F31" s="16" t="s">
        <v>178</v>
      </c>
      <c r="G31" s="16" t="s">
        <v>118</v>
      </c>
    </row>
    <row r="32" ht="15.75" customHeight="1">
      <c r="B32" s="24" t="str">
        <f>IF(Inputs!B46="","–",Inputs!B46)</f>
        <v>Lead investor</v>
      </c>
      <c r="C32" s="33">
        <f>IF(Inputs!C46="",0,Inputs!C46)</f>
        <v>750000</v>
      </c>
      <c r="D32" s="45">
        <f t="shared" ref="D32:D37" si="10">IF(C32&gt;0,$C$25,"–")</f>
        <v>0.5131578947</v>
      </c>
      <c r="E32" s="25">
        <f t="shared" ref="E32:E37" si="11">IF(C32&gt;0,C32/$C$25,0)</f>
        <v>1461538.462</v>
      </c>
      <c r="F32" s="30">
        <f t="shared" ref="F32:F37" si="12">IF(C32&gt;0,E32/$C$21,0)</f>
        <v>0.1</v>
      </c>
      <c r="G32" s="34" t="str">
        <f>IF(Inputs!D46="","–",Inputs!D46)</f>
        <v>Yes</v>
      </c>
    </row>
    <row r="33" ht="15.75" customHeight="1">
      <c r="B33" s="24" t="str">
        <f>IF(Inputs!B47="","–",Inputs!B47)</f>
        <v>Co-investor fund</v>
      </c>
      <c r="C33" s="33">
        <f>IF(Inputs!C47="",0,Inputs!C47)</f>
        <v>500000</v>
      </c>
      <c r="D33" s="45">
        <f t="shared" si="10"/>
        <v>0.5131578947</v>
      </c>
      <c r="E33" s="25">
        <f t="shared" si="11"/>
        <v>974358.9744</v>
      </c>
      <c r="F33" s="30">
        <f t="shared" si="12"/>
        <v>0.06666666667</v>
      </c>
      <c r="G33" s="34" t="str">
        <f>IF(Inputs!D47="","–",Inputs!D47)</f>
        <v>No</v>
      </c>
    </row>
    <row r="34" ht="15.75" customHeight="1">
      <c r="B34" s="24" t="str">
        <f>IF(Inputs!B48="","–",Inputs!B48)</f>
        <v>New angels</v>
      </c>
      <c r="C34" s="33">
        <f>IF(Inputs!C48="",0,Inputs!C48)</f>
        <v>250000</v>
      </c>
      <c r="D34" s="45">
        <f t="shared" si="10"/>
        <v>0.5131578947</v>
      </c>
      <c r="E34" s="25">
        <f t="shared" si="11"/>
        <v>487179.4872</v>
      </c>
      <c r="F34" s="30">
        <f t="shared" si="12"/>
        <v>0.03333333333</v>
      </c>
      <c r="G34" s="34" t="str">
        <f>IF(Inputs!D48="","–",Inputs!D48)</f>
        <v>No</v>
      </c>
    </row>
    <row r="35" ht="15.75" customHeight="1">
      <c r="B35" s="24" t="str">
        <f>IF(Inputs!B49="","–",Inputs!B49)</f>
        <v>–</v>
      </c>
      <c r="C35" s="33">
        <f>IF(Inputs!C49="",0,Inputs!C49)</f>
        <v>0</v>
      </c>
      <c r="D35" s="45" t="str">
        <f t="shared" si="10"/>
        <v>–</v>
      </c>
      <c r="E35" s="25">
        <f t="shared" si="11"/>
        <v>0</v>
      </c>
      <c r="F35" s="30">
        <f t="shared" si="12"/>
        <v>0</v>
      </c>
      <c r="G35" s="34" t="str">
        <f>IF(Inputs!D49="","–",Inputs!D49)</f>
        <v>–</v>
      </c>
    </row>
    <row r="36" ht="15.75" customHeight="1">
      <c r="B36" s="24" t="str">
        <f>IF(Inputs!B50="","–",Inputs!B50)</f>
        <v>–</v>
      </c>
      <c r="C36" s="33">
        <f>IF(Inputs!C50="",0,Inputs!C50)</f>
        <v>0</v>
      </c>
      <c r="D36" s="45" t="str">
        <f t="shared" si="10"/>
        <v>–</v>
      </c>
      <c r="E36" s="25">
        <f t="shared" si="11"/>
        <v>0</v>
      </c>
      <c r="F36" s="30">
        <f t="shared" si="12"/>
        <v>0</v>
      </c>
      <c r="G36" s="34" t="str">
        <f>IF(Inputs!D50="","–",Inputs!D50)</f>
        <v>–</v>
      </c>
    </row>
    <row r="37" ht="15.75" customHeight="1">
      <c r="B37" s="24" t="str">
        <f>IF(Inputs!B51="","–",Inputs!B51)</f>
        <v>–</v>
      </c>
      <c r="C37" s="33">
        <f>IF(Inputs!C51="",0,Inputs!C51)</f>
        <v>0</v>
      </c>
      <c r="D37" s="45" t="str">
        <f t="shared" si="10"/>
        <v>–</v>
      </c>
      <c r="E37" s="25">
        <f t="shared" si="11"/>
        <v>0</v>
      </c>
      <c r="F37" s="30">
        <f t="shared" si="12"/>
        <v>0</v>
      </c>
      <c r="G37" s="34" t="str">
        <f>IF(Inputs!D51="","–",Inputs!D51)</f>
        <v>–</v>
      </c>
    </row>
    <row r="38" ht="15.75" customHeight="1">
      <c r="B38" s="28" t="s">
        <v>179</v>
      </c>
      <c r="E38" s="31">
        <f t="shared" ref="E38:F38" si="13">SUM(E32:E37)</f>
        <v>2923076.923</v>
      </c>
      <c r="F38" s="46">
        <f t="shared" si="13"/>
        <v>0.2</v>
      </c>
    </row>
    <row r="39" ht="15.0" customHeight="1">
      <c r="B39" s="35" t="s">
        <v>180</v>
      </c>
    </row>
    <row r="40" ht="15.75" customHeight="1"/>
    <row r="41" ht="18.0" customHeight="1">
      <c r="B41" s="19" t="s">
        <v>181</v>
      </c>
      <c r="C41" s="20"/>
      <c r="D41" s="20"/>
      <c r="E41" s="20"/>
      <c r="F41" s="20"/>
      <c r="G41" s="20"/>
      <c r="H41" s="20"/>
      <c r="I41" s="20"/>
      <c r="J41" s="20"/>
      <c r="K41" s="20"/>
      <c r="L41" s="20"/>
      <c r="M41" s="20"/>
      <c r="N41" s="20"/>
    </row>
    <row r="42" ht="15.75" customHeight="1">
      <c r="B42" s="21" t="s">
        <v>182</v>
      </c>
      <c r="C42" s="25">
        <f>$C$5</f>
        <v>10000000</v>
      </c>
    </row>
    <row r="43" ht="15.75" customHeight="1">
      <c r="B43" s="21" t="s">
        <v>183</v>
      </c>
      <c r="C43" s="25">
        <f>$C$26</f>
        <v>961538.4615</v>
      </c>
    </row>
    <row r="44" ht="15.75" customHeight="1">
      <c r="B44" s="21" t="s">
        <v>184</v>
      </c>
      <c r="C44" s="25">
        <f>SUM(M14:M17)</f>
        <v>730769.2308</v>
      </c>
    </row>
    <row r="45" ht="15.75" customHeight="1">
      <c r="B45" s="21" t="s">
        <v>185</v>
      </c>
      <c r="C45" s="25">
        <f>$E$38</f>
        <v>2923076.923</v>
      </c>
    </row>
    <row r="46" ht="15.75" customHeight="1">
      <c r="B46" s="28" t="s">
        <v>186</v>
      </c>
      <c r="C46" s="31">
        <f>SUM(C42:C45)</f>
        <v>14615384.62</v>
      </c>
    </row>
    <row r="47" ht="15.75" customHeight="1">
      <c r="B47" s="21" t="s">
        <v>187</v>
      </c>
      <c r="C47" s="42" t="str">
        <f>IF(ABS(C46-$C$21)&lt;1,"Reconciles","Does not reconcile – check inputs")</f>
        <v>Reconciles</v>
      </c>
    </row>
    <row r="48" ht="15.75" customHeight="1"/>
    <row r="49" ht="15.75" customHeight="1">
      <c r="B49" s="11" t="s">
        <v>38</v>
      </c>
    </row>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3">
    <mergeCell ref="L7:M7"/>
    <mergeCell ref="L8:M8"/>
    <mergeCell ref="E19:M22"/>
    <mergeCell ref="E25:M25"/>
    <mergeCell ref="E26:M26"/>
    <mergeCell ref="B39:M39"/>
    <mergeCell ref="A3:M3"/>
    <mergeCell ref="I5:J5"/>
    <mergeCell ref="L5:M5"/>
    <mergeCell ref="I6:J6"/>
    <mergeCell ref="L6:M6"/>
    <mergeCell ref="I7:J7"/>
    <mergeCell ref="I8:J8"/>
  </mergeCells>
  <conditionalFormatting sqref="C47">
    <cfRule type="cellIs" dxfId="0" priority="1" operator="equal">
      <formula>"Reconciles"</formula>
    </cfRule>
  </conditionalFormatting>
  <conditionalFormatting sqref="C47">
    <cfRule type="cellIs" dxfId="1" priority="2" operator="notEqual">
      <formula>"Reconciles"</formula>
    </cfRule>
  </conditionalFormatting>
  <printOptions/>
  <pageMargins bottom="0.7" footer="0.0" header="0.0" left="0.6" right="0.6" top="0.7"/>
  <pageSetup fitToHeight="0" paperSize="9" orientation="landscape"/>
  <headerFooter>
    <oddFooter>&amp;L A Sure Valley Ventures founder resource · svv.ai · v1 · 2026&amp;R Page &amp;P of </oddFoot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pane ySplit="5.0" topLeftCell="A6" activePane="bottomLeft" state="frozen"/>
      <selection activeCell="B7" sqref="B7" pane="bottomLeft"/>
    </sheetView>
  </sheetViews>
  <sheetFormatPr customHeight="1" defaultColWidth="14.43" defaultRowHeight="15.0"/>
  <cols>
    <col customWidth="1" min="1" max="1" width="2.0"/>
    <col customWidth="1" min="2" max="2" width="36.0"/>
    <col customWidth="1" min="3" max="3" width="18.0"/>
    <col customWidth="1" min="4" max="4" width="14.0"/>
    <col customWidth="1" min="5" max="5" width="12.0"/>
    <col customWidth="1" min="6" max="6" width="14.0"/>
    <col customWidth="1" min="7" max="7" width="12.0"/>
    <col customWidth="1" min="8" max="9" width="14.0"/>
    <col customWidth="1" min="10" max="10" width="12.0"/>
    <col customWidth="1" min="11" max="26" width="8.71"/>
  </cols>
  <sheetData>
    <row r="1" ht="13.5" customHeight="1">
      <c r="A1" s="1" t="s">
        <v>42</v>
      </c>
    </row>
    <row r="2" ht="27.75" customHeight="1">
      <c r="A2" s="12" t="s">
        <v>43</v>
      </c>
    </row>
    <row r="3" ht="31.5" customHeight="1">
      <c r="A3" s="13" t="s">
        <v>45</v>
      </c>
    </row>
    <row r="5" ht="42.0" customHeight="1">
      <c r="B5" s="16" t="s">
        <v>47</v>
      </c>
      <c r="C5" s="16" t="s">
        <v>50</v>
      </c>
      <c r="D5" s="16" t="s">
        <v>51</v>
      </c>
      <c r="E5" s="16" t="s">
        <v>52</v>
      </c>
      <c r="F5" s="16" t="s">
        <v>53</v>
      </c>
      <c r="G5" s="16" t="s">
        <v>54</v>
      </c>
      <c r="H5" s="16" t="s">
        <v>58</v>
      </c>
      <c r="I5" s="16" t="s">
        <v>59</v>
      </c>
      <c r="J5" s="16" t="s">
        <v>60</v>
      </c>
    </row>
    <row r="6">
      <c r="B6" s="24" t="str">
        <f>IF(Inputs!B11="","–",Inputs!B11)</f>
        <v>Maya Okoro (founder)</v>
      </c>
      <c r="C6" s="24" t="str">
        <f>IF(Inputs!C11="","",Inputs!C11)</f>
        <v>Ordinary</v>
      </c>
      <c r="D6" s="25">
        <f>IF(Inputs!D11="",0,Inputs!D11)</f>
        <v>4500000</v>
      </c>
      <c r="E6" s="30">
        <f>IF(D6&gt;0,D6/Inputs!$D$23,0)</f>
        <v>0.45</v>
      </c>
      <c r="F6" s="25">
        <f t="shared" ref="F6:F17" si="1">D6</f>
        <v>4500000</v>
      </c>
      <c r="G6" s="30">
        <f>IF(F6&gt;0,F6/'Round model'!$C$21,0)</f>
        <v>0.3078947368</v>
      </c>
      <c r="H6" s="33">
        <f t="shared" ref="H6:H18" si="2">0</f>
        <v>0</v>
      </c>
      <c r="I6" s="34" t="str">
        <f t="shared" ref="I6:I18" si="3">"–"</f>
        <v>–</v>
      </c>
      <c r="J6" s="30">
        <f t="shared" ref="J6:J17" si="4">IF(E6&gt;0,G6/E6-1,"")</f>
        <v>-0.3157894737</v>
      </c>
    </row>
    <row r="7">
      <c r="B7" s="24" t="str">
        <f>IF(Inputs!B12="","–",Inputs!B12)</f>
        <v>Tomás Reilly (founder)</v>
      </c>
      <c r="C7" s="24" t="str">
        <f>IF(Inputs!C12="","",Inputs!C12)</f>
        <v>Ordinary</v>
      </c>
      <c r="D7" s="25">
        <f>IF(Inputs!D12="",0,Inputs!D12)</f>
        <v>4500000</v>
      </c>
      <c r="E7" s="30">
        <f>IF(D7&gt;0,D7/Inputs!$D$23,0)</f>
        <v>0.45</v>
      </c>
      <c r="F7" s="25">
        <f t="shared" si="1"/>
        <v>4500000</v>
      </c>
      <c r="G7" s="30">
        <f>IF(F7&gt;0,F7/'Round model'!$C$21,0)</f>
        <v>0.3078947368</v>
      </c>
      <c r="H7" s="33">
        <f t="shared" si="2"/>
        <v>0</v>
      </c>
      <c r="I7" s="34" t="str">
        <f t="shared" si="3"/>
        <v>–</v>
      </c>
      <c r="J7" s="30">
        <f t="shared" si="4"/>
        <v>-0.3157894737</v>
      </c>
    </row>
    <row r="8">
      <c r="B8" s="24" t="str">
        <f>IF(Inputs!B13="","–",Inputs!B13)</f>
        <v>Angel 1 (pre-seed, 2025)</v>
      </c>
      <c r="C8" s="24" t="str">
        <f>IF(Inputs!C13="","",Inputs!C13)</f>
        <v>Ordinary</v>
      </c>
      <c r="D8" s="25">
        <f>IF(Inputs!D13="",0,Inputs!D13)</f>
        <v>500000</v>
      </c>
      <c r="E8" s="30">
        <f>IF(D8&gt;0,D8/Inputs!$D$23,0)</f>
        <v>0.05</v>
      </c>
      <c r="F8" s="25">
        <f t="shared" si="1"/>
        <v>500000</v>
      </c>
      <c r="G8" s="30">
        <f>IF(F8&gt;0,F8/'Round model'!$C$21,0)</f>
        <v>0.03421052632</v>
      </c>
      <c r="H8" s="33">
        <f t="shared" si="2"/>
        <v>0</v>
      </c>
      <c r="I8" s="34" t="str">
        <f t="shared" si="3"/>
        <v>–</v>
      </c>
      <c r="J8" s="30">
        <f t="shared" si="4"/>
        <v>-0.3157894737</v>
      </c>
    </row>
    <row r="9">
      <c r="B9" s="24" t="str">
        <f>IF(Inputs!B14="","–",Inputs!B14)</f>
        <v>EMI option pool (unallocated)</v>
      </c>
      <c r="C9" s="24" t="str">
        <f>IF(Inputs!C14="","",Inputs!C14)</f>
        <v>Unallocated pool</v>
      </c>
      <c r="D9" s="25">
        <f>IF(Inputs!D14="",0,Inputs!D14)</f>
        <v>500000</v>
      </c>
      <c r="E9" s="30">
        <f>IF(D9&gt;0,D9/Inputs!$D$23,0)</f>
        <v>0.05</v>
      </c>
      <c r="F9" s="25">
        <f t="shared" si="1"/>
        <v>500000</v>
      </c>
      <c r="G9" s="30">
        <f>IF(F9&gt;0,F9/'Round model'!$C$21,0)</f>
        <v>0.03421052632</v>
      </c>
      <c r="H9" s="33">
        <f t="shared" si="2"/>
        <v>0</v>
      </c>
      <c r="I9" s="34" t="str">
        <f t="shared" si="3"/>
        <v>–</v>
      </c>
      <c r="J9" s="30">
        <f t="shared" si="4"/>
        <v>-0.3157894737</v>
      </c>
    </row>
    <row r="10">
      <c r="B10" s="24" t="str">
        <f>IF(Inputs!B15="","–",Inputs!B15)</f>
        <v>–</v>
      </c>
      <c r="C10" s="24" t="str">
        <f>IF(Inputs!C15="","",Inputs!C15)</f>
        <v/>
      </c>
      <c r="D10" s="25">
        <f>IF(Inputs!D15="",0,Inputs!D15)</f>
        <v>0</v>
      </c>
      <c r="E10" s="30">
        <f>IF(D10&gt;0,D10/Inputs!$D$23,0)</f>
        <v>0</v>
      </c>
      <c r="F10" s="25">
        <f t="shared" si="1"/>
        <v>0</v>
      </c>
      <c r="G10" s="30">
        <f>IF(F10&gt;0,F10/'Round model'!$C$21,0)</f>
        <v>0</v>
      </c>
      <c r="H10" s="33">
        <f t="shared" si="2"/>
        <v>0</v>
      </c>
      <c r="I10" s="34" t="str">
        <f t="shared" si="3"/>
        <v>–</v>
      </c>
      <c r="J10" s="30" t="str">
        <f t="shared" si="4"/>
        <v/>
      </c>
    </row>
    <row r="11">
      <c r="B11" s="24" t="str">
        <f>IF(Inputs!B16="","–",Inputs!B16)</f>
        <v>–</v>
      </c>
      <c r="C11" s="24" t="str">
        <f>IF(Inputs!C16="","",Inputs!C16)</f>
        <v/>
      </c>
      <c r="D11" s="25">
        <f>IF(Inputs!D16="",0,Inputs!D16)</f>
        <v>0</v>
      </c>
      <c r="E11" s="30">
        <f>IF(D11&gt;0,D11/Inputs!$D$23,0)</f>
        <v>0</v>
      </c>
      <c r="F11" s="25">
        <f t="shared" si="1"/>
        <v>0</v>
      </c>
      <c r="G11" s="30">
        <f>IF(F11&gt;0,F11/'Round model'!$C$21,0)</f>
        <v>0</v>
      </c>
      <c r="H11" s="33">
        <f t="shared" si="2"/>
        <v>0</v>
      </c>
      <c r="I11" s="34" t="str">
        <f t="shared" si="3"/>
        <v>–</v>
      </c>
      <c r="J11" s="30" t="str">
        <f t="shared" si="4"/>
        <v/>
      </c>
    </row>
    <row r="12">
      <c r="B12" s="24" t="str">
        <f>IF(Inputs!B17="","–",Inputs!B17)</f>
        <v>–</v>
      </c>
      <c r="C12" s="24" t="str">
        <f>IF(Inputs!C17="","",Inputs!C17)</f>
        <v/>
      </c>
      <c r="D12" s="25">
        <f>IF(Inputs!D17="",0,Inputs!D17)</f>
        <v>0</v>
      </c>
      <c r="E12" s="30">
        <f>IF(D12&gt;0,D12/Inputs!$D$23,0)</f>
        <v>0</v>
      </c>
      <c r="F12" s="25">
        <f t="shared" si="1"/>
        <v>0</v>
      </c>
      <c r="G12" s="30">
        <f>IF(F12&gt;0,F12/'Round model'!$C$21,0)</f>
        <v>0</v>
      </c>
      <c r="H12" s="33">
        <f t="shared" si="2"/>
        <v>0</v>
      </c>
      <c r="I12" s="34" t="str">
        <f t="shared" si="3"/>
        <v>–</v>
      </c>
      <c r="J12" s="30" t="str">
        <f t="shared" si="4"/>
        <v/>
      </c>
    </row>
    <row r="13">
      <c r="B13" s="24" t="str">
        <f>IF(Inputs!B18="","–",Inputs!B18)</f>
        <v>–</v>
      </c>
      <c r="C13" s="24" t="str">
        <f>IF(Inputs!C18="","",Inputs!C18)</f>
        <v/>
      </c>
      <c r="D13" s="25">
        <f>IF(Inputs!D18="",0,Inputs!D18)</f>
        <v>0</v>
      </c>
      <c r="E13" s="30">
        <f>IF(D13&gt;0,D13/Inputs!$D$23,0)</f>
        <v>0</v>
      </c>
      <c r="F13" s="25">
        <f t="shared" si="1"/>
        <v>0</v>
      </c>
      <c r="G13" s="30">
        <f>IF(F13&gt;0,F13/'Round model'!$C$21,0)</f>
        <v>0</v>
      </c>
      <c r="H13" s="33">
        <f t="shared" si="2"/>
        <v>0</v>
      </c>
      <c r="I13" s="34" t="str">
        <f t="shared" si="3"/>
        <v>–</v>
      </c>
      <c r="J13" s="30" t="str">
        <f t="shared" si="4"/>
        <v/>
      </c>
    </row>
    <row r="14">
      <c r="B14" s="24" t="str">
        <f>IF(Inputs!B19="","–",Inputs!B19)</f>
        <v>–</v>
      </c>
      <c r="C14" s="24" t="str">
        <f>IF(Inputs!C19="","",Inputs!C19)</f>
        <v/>
      </c>
      <c r="D14" s="25">
        <f>IF(Inputs!D19="",0,Inputs!D19)</f>
        <v>0</v>
      </c>
      <c r="E14" s="30">
        <f>IF(D14&gt;0,D14/Inputs!$D$23,0)</f>
        <v>0</v>
      </c>
      <c r="F14" s="25">
        <f t="shared" si="1"/>
        <v>0</v>
      </c>
      <c r="G14" s="30">
        <f>IF(F14&gt;0,F14/'Round model'!$C$21,0)</f>
        <v>0</v>
      </c>
      <c r="H14" s="33">
        <f t="shared" si="2"/>
        <v>0</v>
      </c>
      <c r="I14" s="34" t="str">
        <f t="shared" si="3"/>
        <v>–</v>
      </c>
      <c r="J14" s="30" t="str">
        <f t="shared" si="4"/>
        <v/>
      </c>
    </row>
    <row r="15">
      <c r="B15" s="24" t="str">
        <f>IF(Inputs!B20="","–",Inputs!B20)</f>
        <v>–</v>
      </c>
      <c r="C15" s="24" t="str">
        <f>IF(Inputs!C20="","",Inputs!C20)</f>
        <v/>
      </c>
      <c r="D15" s="25">
        <f>IF(Inputs!D20="",0,Inputs!D20)</f>
        <v>0</v>
      </c>
      <c r="E15" s="30">
        <f>IF(D15&gt;0,D15/Inputs!$D$23,0)</f>
        <v>0</v>
      </c>
      <c r="F15" s="25">
        <f t="shared" si="1"/>
        <v>0</v>
      </c>
      <c r="G15" s="30">
        <f>IF(F15&gt;0,F15/'Round model'!$C$21,0)</f>
        <v>0</v>
      </c>
      <c r="H15" s="33">
        <f t="shared" si="2"/>
        <v>0</v>
      </c>
      <c r="I15" s="34" t="str">
        <f t="shared" si="3"/>
        <v>–</v>
      </c>
      <c r="J15" s="30" t="str">
        <f t="shared" si="4"/>
        <v/>
      </c>
    </row>
    <row r="16">
      <c r="B16" s="24" t="str">
        <f>IF(Inputs!B21="","–",Inputs!B21)</f>
        <v>–</v>
      </c>
      <c r="C16" s="24" t="str">
        <f>IF(Inputs!C21="","",Inputs!C21)</f>
        <v/>
      </c>
      <c r="D16" s="25">
        <f>IF(Inputs!D21="",0,Inputs!D21)</f>
        <v>0</v>
      </c>
      <c r="E16" s="30">
        <f>IF(D16&gt;0,D16/Inputs!$D$23,0)</f>
        <v>0</v>
      </c>
      <c r="F16" s="25">
        <f t="shared" si="1"/>
        <v>0</v>
      </c>
      <c r="G16" s="30">
        <f>IF(F16&gt;0,F16/'Round model'!$C$21,0)</f>
        <v>0</v>
      </c>
      <c r="H16" s="33">
        <f t="shared" si="2"/>
        <v>0</v>
      </c>
      <c r="I16" s="34" t="str">
        <f t="shared" si="3"/>
        <v>–</v>
      </c>
      <c r="J16" s="30" t="str">
        <f t="shared" si="4"/>
        <v/>
      </c>
    </row>
    <row r="17">
      <c r="B17" s="24" t="str">
        <f>IF(Inputs!B22="","–",Inputs!B22)</f>
        <v>–</v>
      </c>
      <c r="C17" s="24" t="str">
        <f>IF(Inputs!C22="","",Inputs!C22)</f>
        <v/>
      </c>
      <c r="D17" s="25">
        <f>IF(Inputs!D22="",0,Inputs!D22)</f>
        <v>0</v>
      </c>
      <c r="E17" s="30">
        <f>IF(D17&gt;0,D17/Inputs!$D$23,0)</f>
        <v>0</v>
      </c>
      <c r="F17" s="25">
        <f t="shared" si="1"/>
        <v>0</v>
      </c>
      <c r="G17" s="30">
        <f>IF(F17&gt;0,F17/'Round model'!$C$21,0)</f>
        <v>0</v>
      </c>
      <c r="H17" s="33">
        <f t="shared" si="2"/>
        <v>0</v>
      </c>
      <c r="I17" s="34" t="str">
        <f t="shared" si="3"/>
        <v>–</v>
      </c>
      <c r="J17" s="30" t="str">
        <f t="shared" si="4"/>
        <v/>
      </c>
    </row>
    <row r="18">
      <c r="B18" s="24" t="str">
        <f>"New option pool shares (top-up in this round)"</f>
        <v>New option pool shares (top-up in this round)</v>
      </c>
      <c r="C18" s="24" t="str">
        <f>"Unallocated pool"</f>
        <v>Unallocated pool</v>
      </c>
      <c r="D18" s="25">
        <f t="shared" ref="D18:E18" si="5">0</f>
        <v>0</v>
      </c>
      <c r="E18" s="30">
        <f t="shared" si="5"/>
        <v>0</v>
      </c>
      <c r="F18" s="25">
        <f>'Round model'!$C$26</f>
        <v>961538.4615</v>
      </c>
      <c r="G18" s="30">
        <f>F18/'Round model'!$C$21</f>
        <v>0.06578947368</v>
      </c>
      <c r="H18" s="33">
        <f t="shared" si="2"/>
        <v>0</v>
      </c>
      <c r="I18" s="34" t="str">
        <f t="shared" si="3"/>
        <v>–</v>
      </c>
      <c r="J18" s="49" t="str">
        <f t="shared" ref="J18:J28" si="7">""</f>
        <v/>
      </c>
    </row>
    <row r="19">
      <c r="B19" s="24" t="str">
        <f>'Round model'!B14</f>
        <v>Angel syndicate ASA (Mar 2026)</v>
      </c>
      <c r="C19" s="24" t="str">
        <f>IF(Inputs!C30="","Convertible",Inputs!C30&amp;", converted")</f>
        <v>ASA, converted</v>
      </c>
      <c r="D19" s="25">
        <f t="shared" ref="D19:E19" si="6">0</f>
        <v>0</v>
      </c>
      <c r="E19" s="30">
        <f t="shared" si="6"/>
        <v>0</v>
      </c>
      <c r="F19" s="25">
        <f>'Round model'!M14</f>
        <v>730769.2308</v>
      </c>
      <c r="G19" s="30">
        <f>F19/'Round model'!$C$21</f>
        <v>0.05</v>
      </c>
      <c r="H19" s="33">
        <f>'Round model'!C14</f>
        <v>300000</v>
      </c>
      <c r="I19" s="45">
        <f>'Round model'!N14</f>
        <v>0.4105263158</v>
      </c>
      <c r="J19" s="49" t="str">
        <f t="shared" si="7"/>
        <v/>
      </c>
    </row>
    <row r="20">
      <c r="B20" s="24" t="str">
        <f>'Round model'!B15</f>
        <v>–</v>
      </c>
      <c r="C20" s="24" t="str">
        <f>IF(Inputs!C31="","Convertible",Inputs!C31&amp;", converted")</f>
        <v>Convertible</v>
      </c>
      <c r="D20" s="25">
        <f t="shared" ref="D20:E20" si="8">0</f>
        <v>0</v>
      </c>
      <c r="E20" s="30">
        <f t="shared" si="8"/>
        <v>0</v>
      </c>
      <c r="F20" s="25">
        <f>'Round model'!M15</f>
        <v>0</v>
      </c>
      <c r="G20" s="30">
        <f>F20/'Round model'!$C$21</f>
        <v>0</v>
      </c>
      <c r="H20" s="33">
        <f>'Round model'!C15</f>
        <v>0</v>
      </c>
      <c r="I20" s="45" t="str">
        <f>'Round model'!N15</f>
        <v>–</v>
      </c>
      <c r="J20" s="49" t="str">
        <f t="shared" si="7"/>
        <v/>
      </c>
    </row>
    <row r="21" ht="15.75" customHeight="1">
      <c r="B21" s="24" t="str">
        <f>'Round model'!B16</f>
        <v>–</v>
      </c>
      <c r="C21" s="24" t="str">
        <f>IF(Inputs!C32="","Convertible",Inputs!C32&amp;", converted")</f>
        <v>Convertible</v>
      </c>
      <c r="D21" s="25">
        <f t="shared" ref="D21:E21" si="9">0</f>
        <v>0</v>
      </c>
      <c r="E21" s="30">
        <f t="shared" si="9"/>
        <v>0</v>
      </c>
      <c r="F21" s="25">
        <f>'Round model'!M16</f>
        <v>0</v>
      </c>
      <c r="G21" s="30">
        <f>F21/'Round model'!$C$21</f>
        <v>0</v>
      </c>
      <c r="H21" s="33">
        <f>'Round model'!C16</f>
        <v>0</v>
      </c>
      <c r="I21" s="45" t="str">
        <f>'Round model'!N16</f>
        <v>–</v>
      </c>
      <c r="J21" s="49" t="str">
        <f t="shared" si="7"/>
        <v/>
      </c>
    </row>
    <row r="22" ht="15.75" customHeight="1">
      <c r="B22" s="24" t="str">
        <f>'Round model'!B17</f>
        <v>–</v>
      </c>
      <c r="C22" s="24" t="str">
        <f>IF(Inputs!C33="","Convertible",Inputs!C33&amp;", converted")</f>
        <v>Convertible</v>
      </c>
      <c r="D22" s="25">
        <f t="shared" ref="D22:E22" si="10">0</f>
        <v>0</v>
      </c>
      <c r="E22" s="30">
        <f t="shared" si="10"/>
        <v>0</v>
      </c>
      <c r="F22" s="25">
        <f>'Round model'!M17</f>
        <v>0</v>
      </c>
      <c r="G22" s="30">
        <f>F22/'Round model'!$C$21</f>
        <v>0</v>
      </c>
      <c r="H22" s="33">
        <f>'Round model'!C17</f>
        <v>0</v>
      </c>
      <c r="I22" s="45" t="str">
        <f>'Round model'!N17</f>
        <v>–</v>
      </c>
      <c r="J22" s="49" t="str">
        <f t="shared" si="7"/>
        <v/>
      </c>
    </row>
    <row r="23" ht="15.75" customHeight="1">
      <c r="B23" s="24" t="str">
        <f>'Round model'!B32</f>
        <v>Lead investor</v>
      </c>
      <c r="C23" s="24" t="str">
        <f>IF(Inputs!C46="","","New investor, "&amp;Inputs!$C$37)</f>
        <v>New investor, Seed</v>
      </c>
      <c r="D23" s="25">
        <f t="shared" ref="D23:E23" si="11">0</f>
        <v>0</v>
      </c>
      <c r="E23" s="30">
        <f t="shared" si="11"/>
        <v>0</v>
      </c>
      <c r="F23" s="25">
        <f>'Round model'!E32</f>
        <v>1461538.462</v>
      </c>
      <c r="G23" s="30">
        <f>'Round model'!F32</f>
        <v>0.1</v>
      </c>
      <c r="H23" s="33">
        <f>'Round model'!C32</f>
        <v>750000</v>
      </c>
      <c r="I23" s="45">
        <f>'Round model'!D32</f>
        <v>0.5131578947</v>
      </c>
      <c r="J23" s="49" t="str">
        <f t="shared" si="7"/>
        <v/>
      </c>
    </row>
    <row r="24" ht="15.75" customHeight="1">
      <c r="B24" s="24" t="str">
        <f>'Round model'!B33</f>
        <v>Co-investor fund</v>
      </c>
      <c r="C24" s="24" t="str">
        <f>IF(Inputs!C47="","","New investor, "&amp;Inputs!$C$37)</f>
        <v>New investor, Seed</v>
      </c>
      <c r="D24" s="25">
        <f t="shared" ref="D24:E24" si="12">0</f>
        <v>0</v>
      </c>
      <c r="E24" s="30">
        <f t="shared" si="12"/>
        <v>0</v>
      </c>
      <c r="F24" s="25">
        <f>'Round model'!E33</f>
        <v>974358.9744</v>
      </c>
      <c r="G24" s="30">
        <f>'Round model'!F33</f>
        <v>0.06666666667</v>
      </c>
      <c r="H24" s="33">
        <f>'Round model'!C33</f>
        <v>500000</v>
      </c>
      <c r="I24" s="45">
        <f>'Round model'!D33</f>
        <v>0.5131578947</v>
      </c>
      <c r="J24" s="49" t="str">
        <f t="shared" si="7"/>
        <v/>
      </c>
    </row>
    <row r="25" ht="15.75" customHeight="1">
      <c r="B25" s="24" t="str">
        <f>'Round model'!B34</f>
        <v>New angels</v>
      </c>
      <c r="C25" s="24" t="str">
        <f>IF(Inputs!C48="","","New investor, "&amp;Inputs!$C$37)</f>
        <v>New investor, Seed</v>
      </c>
      <c r="D25" s="25">
        <f t="shared" ref="D25:E25" si="13">0</f>
        <v>0</v>
      </c>
      <c r="E25" s="30">
        <f t="shared" si="13"/>
        <v>0</v>
      </c>
      <c r="F25" s="25">
        <f>'Round model'!E34</f>
        <v>487179.4872</v>
      </c>
      <c r="G25" s="30">
        <f>'Round model'!F34</f>
        <v>0.03333333333</v>
      </c>
      <c r="H25" s="33">
        <f>'Round model'!C34</f>
        <v>250000</v>
      </c>
      <c r="I25" s="45">
        <f>'Round model'!D34</f>
        <v>0.5131578947</v>
      </c>
      <c r="J25" s="49" t="str">
        <f t="shared" si="7"/>
        <v/>
      </c>
    </row>
    <row r="26" ht="15.75" customHeight="1">
      <c r="B26" s="24" t="str">
        <f>'Round model'!B35</f>
        <v>–</v>
      </c>
      <c r="C26" s="24" t="str">
        <f>IF(Inputs!C49="","","New investor, "&amp;Inputs!$C$37)</f>
        <v/>
      </c>
      <c r="D26" s="25">
        <f t="shared" ref="D26:E26" si="14">0</f>
        <v>0</v>
      </c>
      <c r="E26" s="30">
        <f t="shared" si="14"/>
        <v>0</v>
      </c>
      <c r="F26" s="25">
        <f>'Round model'!E35</f>
        <v>0</v>
      </c>
      <c r="G26" s="30">
        <f>'Round model'!F35</f>
        <v>0</v>
      </c>
      <c r="H26" s="33">
        <f>'Round model'!C35</f>
        <v>0</v>
      </c>
      <c r="I26" s="45" t="str">
        <f>'Round model'!D35</f>
        <v>–</v>
      </c>
      <c r="J26" s="49" t="str">
        <f t="shared" si="7"/>
        <v/>
      </c>
    </row>
    <row r="27" ht="15.75" customHeight="1">
      <c r="B27" s="24" t="str">
        <f>'Round model'!B36</f>
        <v>–</v>
      </c>
      <c r="C27" s="24" t="str">
        <f>IF(Inputs!C50="","","New investor, "&amp;Inputs!$C$37)</f>
        <v/>
      </c>
      <c r="D27" s="25">
        <f t="shared" ref="D27:E27" si="15">0</f>
        <v>0</v>
      </c>
      <c r="E27" s="30">
        <f t="shared" si="15"/>
        <v>0</v>
      </c>
      <c r="F27" s="25">
        <f>'Round model'!E36</f>
        <v>0</v>
      </c>
      <c r="G27" s="30">
        <f>'Round model'!F36</f>
        <v>0</v>
      </c>
      <c r="H27" s="33">
        <f>'Round model'!C36</f>
        <v>0</v>
      </c>
      <c r="I27" s="45" t="str">
        <f>'Round model'!D36</f>
        <v>–</v>
      </c>
      <c r="J27" s="49" t="str">
        <f t="shared" si="7"/>
        <v/>
      </c>
    </row>
    <row r="28" ht="15.75" customHeight="1">
      <c r="B28" s="24" t="str">
        <f>'Round model'!B37</f>
        <v>–</v>
      </c>
      <c r="C28" s="24" t="str">
        <f>IF(Inputs!C51="","","New investor, "&amp;Inputs!$C$37)</f>
        <v/>
      </c>
      <c r="D28" s="25">
        <f t="shared" ref="D28:E28" si="16">0</f>
        <v>0</v>
      </c>
      <c r="E28" s="30">
        <f t="shared" si="16"/>
        <v>0</v>
      </c>
      <c r="F28" s="25">
        <f>'Round model'!E37</f>
        <v>0</v>
      </c>
      <c r="G28" s="30">
        <f>'Round model'!F37</f>
        <v>0</v>
      </c>
      <c r="H28" s="33">
        <f>'Round model'!C37</f>
        <v>0</v>
      </c>
      <c r="I28" s="45" t="str">
        <f>'Round model'!D37</f>
        <v>–</v>
      </c>
      <c r="J28" s="49" t="str">
        <f t="shared" si="7"/>
        <v/>
      </c>
    </row>
    <row r="29" ht="15.75" customHeight="1">
      <c r="B29" s="28" t="s">
        <v>188</v>
      </c>
      <c r="D29" s="31">
        <f t="shared" ref="D29:H29" si="17">SUM(D6:D28)</f>
        <v>10000000</v>
      </c>
      <c r="E29" s="46">
        <f t="shared" si="17"/>
        <v>1</v>
      </c>
      <c r="F29" s="31">
        <f t="shared" si="17"/>
        <v>14615384.62</v>
      </c>
      <c r="G29" s="46">
        <f t="shared" si="17"/>
        <v>1</v>
      </c>
      <c r="H29" s="41">
        <f t="shared" si="17"/>
        <v>1800000</v>
      </c>
    </row>
    <row r="30" ht="15.75" customHeight="1"/>
    <row r="31" ht="18.0" customHeight="1">
      <c r="B31" s="19" t="s">
        <v>189</v>
      </c>
      <c r="C31" s="20"/>
      <c r="D31" s="20"/>
      <c r="E31" s="20"/>
      <c r="F31" s="20"/>
      <c r="G31" s="20"/>
      <c r="H31" s="20"/>
      <c r="I31" s="20"/>
      <c r="J31" s="20"/>
    </row>
    <row r="32" ht="15.75" customHeight="1">
      <c r="B32" s="21" t="s">
        <v>137</v>
      </c>
      <c r="G32" s="46">
        <f>Inputs!$D$25/'Round model'!$C$21</f>
        <v>0.6157894737</v>
      </c>
    </row>
    <row r="33" ht="15.75" customHeight="1">
      <c r="B33" s="21" t="s">
        <v>138</v>
      </c>
      <c r="G33" s="46">
        <f t="array" ref="G33">IFERROR(INDEX('Round model'!F32:F37,MATCH("Yes",'Round model'!G32:G37,0)),0)</f>
        <v>0.1</v>
      </c>
    </row>
    <row r="34" ht="15.75" customHeight="1">
      <c r="B34" s="21" t="s">
        <v>139</v>
      </c>
      <c r="G34" s="46">
        <f>Inputs!$C$40/Inputs!$C$41</f>
        <v>0.2</v>
      </c>
    </row>
    <row r="35" ht="15.75" customHeight="1">
      <c r="B35" s="21" t="s">
        <v>190</v>
      </c>
      <c r="G35" s="46">
        <f>(SUMIF(Inputs!C11:C22,"Options (granted)",Inputs!D11:D22)+Inputs!$D$24+'Round model'!$C$26)/'Round model'!$C$21</f>
        <v>0.1</v>
      </c>
    </row>
    <row r="36" ht="15.75" customHeight="1">
      <c r="B36" s="21" t="s">
        <v>136</v>
      </c>
      <c r="G36" s="48">
        <f>'Round model'!$C$25</f>
        <v>0.5131578947</v>
      </c>
    </row>
    <row r="37" ht="15.75" customHeight="1">
      <c r="B37" s="21" t="s">
        <v>163</v>
      </c>
      <c r="G37" s="42" t="str">
        <f>'Round model'!$C$47</f>
        <v>Reconciles</v>
      </c>
    </row>
    <row r="38" ht="15.75" customHeight="1"/>
    <row r="39" ht="27.75" customHeight="1">
      <c r="B39" s="35" t="s">
        <v>191</v>
      </c>
    </row>
    <row r="40" ht="15.75" customHeight="1"/>
    <row r="41" ht="15.75" customHeight="1">
      <c r="B41" s="11" t="s">
        <v>38</v>
      </c>
    </row>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3:I3"/>
    <mergeCell ref="B39:J39"/>
  </mergeCells>
  <conditionalFormatting sqref="B6:J28">
    <cfRule type="expression" dxfId="2" priority="1">
      <formula>$B6="–"</formula>
    </cfRule>
  </conditionalFormatting>
  <printOptions/>
  <pageMargins bottom="0.7" footer="0.0" header="0.0" left="0.6" right="0.6" top="0.7"/>
  <pageSetup fitToHeight="0" paperSize="9" orientation="landscape"/>
  <headerFooter>
    <oddFooter>&amp;L A Sure Valley Ventures founder resource · svv.ai · v1 · 2026&amp;R Page &amp;P of </oddFooter>
  </headerFoo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2.0"/>
    <col customWidth="1" min="2" max="2" width="40.0"/>
    <col customWidth="1" min="3" max="5" width="16.0"/>
    <col customWidth="1" min="6" max="6" width="4.0"/>
    <col customWidth="1" min="7" max="7" width="40.0"/>
    <col customWidth="1" min="8" max="26" width="8.71"/>
  </cols>
  <sheetData>
    <row r="1" ht="13.5" customHeight="1">
      <c r="A1" s="1" t="s">
        <v>82</v>
      </c>
    </row>
    <row r="2" ht="27.75" customHeight="1">
      <c r="A2" s="12" t="s">
        <v>83</v>
      </c>
    </row>
    <row r="3" ht="45.75" customHeight="1">
      <c r="A3" s="13" t="s">
        <v>85</v>
      </c>
    </row>
    <row r="5" ht="18.0" customHeight="1">
      <c r="B5" s="19" t="s">
        <v>89</v>
      </c>
      <c r="C5" s="20"/>
      <c r="D5" s="20"/>
      <c r="E5" s="20"/>
    </row>
    <row r="6">
      <c r="B6" s="21" t="s">
        <v>92</v>
      </c>
      <c r="C6" s="36">
        <v>0.8</v>
      </c>
      <c r="D6" s="36">
        <v>1.0</v>
      </c>
      <c r="E6" s="36">
        <v>1.2</v>
      </c>
    </row>
    <row r="7">
      <c r="B7" s="21" t="s">
        <v>84</v>
      </c>
      <c r="C7" s="33">
        <f>Inputs!$C$39*C6</f>
        <v>4800000</v>
      </c>
      <c r="D7" s="33">
        <f>Inputs!$C$39*D6</f>
        <v>6000000</v>
      </c>
      <c r="E7" s="33">
        <f>Inputs!$C$39*E6</f>
        <v>7200000</v>
      </c>
    </row>
    <row r="8">
      <c r="B8" s="21" t="s">
        <v>103</v>
      </c>
      <c r="C8" s="33">
        <f>C7+Inputs!$C$40</f>
        <v>6300000</v>
      </c>
      <c r="D8" s="33">
        <f>D7+Inputs!$C$40</f>
        <v>7500000</v>
      </c>
      <c r="E8" s="33">
        <f>E7+Inputs!$C$40</f>
        <v>8700000</v>
      </c>
    </row>
    <row r="9">
      <c r="B9" s="21" t="s">
        <v>115</v>
      </c>
      <c r="C9" s="25">
        <f>(Inputs!$D$23-Inputs!$D$24)*(1+SUMPRODUCT(('Round model'!$J$14:$J$17="Cap")*'Round model'!$G$14:$G$17))/(1-Inputs!$C$42-Inputs!$C$40/C8-SUMPRODUCT(('Round model'!$J$14:$J$17="Discount")*IF('Round model'!$C$14:$C$17&gt;0,'Round model'!$C$14:$C$17/(C8*(1-'Round model'!$D$14:$D$17)),0))-Inputs!$C$42*SUMPRODUCT(('Round model'!$J$14:$J$17="Cap")*'Round model'!$G$14:$G$17))</f>
        <v>15770750.99</v>
      </c>
      <c r="D9" s="25">
        <f>(Inputs!$D$23-Inputs!$D$24)*(1+SUMPRODUCT(('Round model'!$J$14:$J$17="Cap")*'Round model'!$G$14:$G$17))/(1-Inputs!$C$42-Inputs!$C$40/D8-SUMPRODUCT(('Round model'!$J$14:$J$17="Discount")*IF('Round model'!$C$14:$C$17&gt;0,'Round model'!$C$14:$C$17/(D8*(1-'Round model'!$D$14:$D$17)),0))-Inputs!$C$42*SUMPRODUCT(('Round model'!$J$14:$J$17="Cap")*'Round model'!$G$14:$G$17))</f>
        <v>14615384.62</v>
      </c>
      <c r="E9" s="25">
        <f>(Inputs!$D$23-Inputs!$D$24)*(1+SUMPRODUCT(('Round model'!$J$14:$J$17="Cap")*'Round model'!$G$14:$G$17))/(1-Inputs!$C$42-Inputs!$C$40/E8-SUMPRODUCT(('Round model'!$J$14:$J$17="Discount")*IF('Round model'!$C$14:$C$17&gt;0,'Round model'!$C$14:$C$17/(E8*(1-'Round model'!$D$14:$D$17)),0))-Inputs!$C$42*SUMPRODUCT(('Round model'!$J$14:$J$17="Cap")*'Round model'!$G$14:$G$17))</f>
        <v>13879093.2</v>
      </c>
    </row>
    <row r="10">
      <c r="B10" s="21" t="s">
        <v>136</v>
      </c>
      <c r="C10" s="45">
        <f t="shared" ref="C10:E10" si="1">C8/C9</f>
        <v>0.3994736842</v>
      </c>
      <c r="D10" s="45">
        <f t="shared" si="1"/>
        <v>0.5131578947</v>
      </c>
      <c r="E10" s="45">
        <f t="shared" si="1"/>
        <v>0.6268421053</v>
      </c>
    </row>
    <row r="11">
      <c r="B11" s="28" t="s">
        <v>137</v>
      </c>
      <c r="C11" s="46">
        <f>Inputs!$D$25/C9</f>
        <v>0.5706766917</v>
      </c>
      <c r="D11" s="46">
        <f>Inputs!$D$25/D9</f>
        <v>0.6157894737</v>
      </c>
      <c r="E11" s="46">
        <f>Inputs!$D$25/E9</f>
        <v>0.6484573503</v>
      </c>
    </row>
    <row r="12">
      <c r="B12" s="28" t="s">
        <v>138</v>
      </c>
      <c r="C12" s="46">
        <f t="array" ref="C12">IFERROR(INDEX(Inputs!C46:C51,MATCH("Yes",Inputs!D46:D51,0)),0)/C8</f>
        <v>0.119047619</v>
      </c>
      <c r="D12" s="46">
        <f t="array" ref="D12">IFERROR(INDEX(Inputs!C46:C51,MATCH("Yes",Inputs!D46:D51,0)),0)/D8</f>
        <v>0.1</v>
      </c>
      <c r="E12" s="46">
        <f t="array" ref="E12">IFERROR(INDEX(Inputs!C46:C51,MATCH("Yes",Inputs!D46:D51,0)),0)/E8</f>
        <v>0.08620689655</v>
      </c>
    </row>
    <row r="13">
      <c r="B13" s="21" t="s">
        <v>139</v>
      </c>
      <c r="C13" s="30">
        <f>Inputs!$C$40/C8</f>
        <v>0.2380952381</v>
      </c>
      <c r="D13" s="30">
        <f>Inputs!$C$40/D8</f>
        <v>0.2</v>
      </c>
      <c r="E13" s="30">
        <f>Inputs!$C$40/E8</f>
        <v>0.1724137931</v>
      </c>
    </row>
    <row r="15" ht="18.0" customHeight="1">
      <c r="B15" s="19" t="s">
        <v>140</v>
      </c>
      <c r="C15" s="20"/>
      <c r="D15" s="20"/>
      <c r="E15" s="20"/>
    </row>
    <row r="16">
      <c r="B16" s="21" t="s">
        <v>141</v>
      </c>
      <c r="C16" s="39">
        <v>0.08</v>
      </c>
      <c r="D16" s="39">
        <v>0.1</v>
      </c>
      <c r="E16" s="39">
        <v>0.12</v>
      </c>
    </row>
    <row r="17">
      <c r="B17" s="21" t="s">
        <v>115</v>
      </c>
      <c r="C17" s="25">
        <f>(Inputs!$D$23-Inputs!$D$24)*(1+SUMPRODUCT(('Round model'!$J$14:$J$17="Cap")*'Round model'!$G$14:$G$17))/(1-C16-Inputs!$C$40/Inputs!$C$41-SUMPRODUCT(('Round model'!$J$14:$J$17="Discount")*IF('Round model'!$C$14:$C$17&gt;0,'Round model'!$C$14:$C$17/(Inputs!$C$41*(1-'Round model'!$D$14:$D$17)),0))-C16*SUMPRODUCT(('Round model'!$J$14:$J$17="Cap")*'Round model'!$G$14:$G$17))</f>
        <v>14179104.48</v>
      </c>
      <c r="D17" s="25">
        <f>(Inputs!$D$23-Inputs!$D$24)*(1+SUMPRODUCT(('Round model'!$J$14:$J$17="Cap")*'Round model'!$G$14:$G$17))/(1-D16-Inputs!$C$40/Inputs!$C$41-SUMPRODUCT(('Round model'!$J$14:$J$17="Discount")*IF('Round model'!$C$14:$C$17&gt;0,'Round model'!$C$14:$C$17/(Inputs!$C$41*(1-'Round model'!$D$14:$D$17)),0))-D16*SUMPRODUCT(('Round model'!$J$14:$J$17="Cap")*'Round model'!$G$14:$G$17))</f>
        <v>14615384.62</v>
      </c>
      <c r="E17" s="25">
        <f>(Inputs!$D$23-Inputs!$D$24)*(1+SUMPRODUCT(('Round model'!$J$14:$J$17="Cap")*'Round model'!$G$14:$G$17))/(1-E16-Inputs!$C$40/Inputs!$C$41-SUMPRODUCT(('Round model'!$J$14:$J$17="Discount")*IF('Round model'!$C$14:$C$17&gt;0,'Round model'!$C$14:$C$17/(Inputs!$C$41*(1-'Round model'!$D$14:$D$17)),0))-E16*SUMPRODUCT(('Round model'!$J$14:$J$17="Cap")*'Round model'!$G$14:$G$17))</f>
        <v>15079365.08</v>
      </c>
    </row>
    <row r="18">
      <c r="B18" s="21" t="s">
        <v>144</v>
      </c>
      <c r="C18" s="25">
        <f>C16*C17-Inputs!$D$24</f>
        <v>634328.3582</v>
      </c>
      <c r="D18" s="25">
        <f>D16*D17-Inputs!$D$24</f>
        <v>961538.4615</v>
      </c>
      <c r="E18" s="25">
        <f>E16*E17-Inputs!$D$24</f>
        <v>1309523.81</v>
      </c>
    </row>
    <row r="19">
      <c r="B19" s="21" t="s">
        <v>136</v>
      </c>
      <c r="C19" s="45">
        <f>Inputs!$C$41/C17</f>
        <v>0.5289473684</v>
      </c>
      <c r="D19" s="45">
        <f>Inputs!$C$41/D17</f>
        <v>0.5131578947</v>
      </c>
      <c r="E19" s="45">
        <f>Inputs!$C$41/E17</f>
        <v>0.4973684211</v>
      </c>
    </row>
    <row r="20">
      <c r="B20" s="28" t="s">
        <v>137</v>
      </c>
      <c r="C20" s="46">
        <f>Inputs!$D$25/C17</f>
        <v>0.6347368421</v>
      </c>
      <c r="D20" s="46">
        <f>Inputs!$D$25/D17</f>
        <v>0.6157894737</v>
      </c>
      <c r="E20" s="46">
        <f>Inputs!$D$25/E17</f>
        <v>0.5968421053</v>
      </c>
    </row>
    <row r="21" ht="15.75" customHeight="1">
      <c r="B21" s="28" t="s">
        <v>138</v>
      </c>
      <c r="C21" s="46">
        <f t="array" ref="C21">IFERROR(INDEX(Inputs!C46:C51,MATCH("Yes",Inputs!D46:D51,0)),0)/Inputs!$C$41</f>
        <v>0.1</v>
      </c>
      <c r="D21" s="46">
        <f t="array" ref="D21">IFERROR(INDEX(Inputs!C46:C51,MATCH("Yes",Inputs!D46:D51,0)),0)/Inputs!$C$41</f>
        <v>0.1</v>
      </c>
      <c r="E21" s="46">
        <f t="array" ref="E21">IFERROR(INDEX(Inputs!C46:C51,MATCH("Yes",Inputs!D46:D51,0)),0)/Inputs!$C$41</f>
        <v>0.1</v>
      </c>
    </row>
    <row r="22" ht="15.75" customHeight="1"/>
    <row r="23" ht="30.0" customHeight="1">
      <c r="B23" s="35" t="s">
        <v>172</v>
      </c>
    </row>
    <row r="24" ht="15.75" customHeight="1"/>
    <row r="25" ht="15.75" customHeight="1">
      <c r="B25" s="11" t="s">
        <v>38</v>
      </c>
    </row>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3:F3"/>
    <mergeCell ref="B23:G23"/>
  </mergeCells>
  <printOptions/>
  <pageMargins bottom="0.7" footer="0.0" header="0.0" left="0.6" right="0.6" top="0.7"/>
  <pageSetup fitToHeight="0" paperSize="9" orientation="portrait"/>
  <headerFooter>
    <oddFooter>&amp;L A Sure Valley Ventures founder resource · svv.ai · v1 · 2026&amp;R Page &amp;P of </oddFooter>
  </headerFooter>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2.0"/>
    <col customWidth="1" min="2" max="2" width="30.0"/>
    <col customWidth="1" min="3" max="3" width="110.0"/>
    <col customWidth="1" min="4" max="26" width="8.71"/>
  </cols>
  <sheetData>
    <row r="1" ht="13.5" customHeight="1">
      <c r="A1" s="1" t="s">
        <v>147</v>
      </c>
    </row>
    <row r="2" ht="27.75" customHeight="1">
      <c r="A2" s="12" t="s">
        <v>148</v>
      </c>
    </row>
    <row r="4" ht="45.0" customHeight="1">
      <c r="B4" s="4" t="s">
        <v>84</v>
      </c>
      <c r="C4" s="47" t="s">
        <v>149</v>
      </c>
    </row>
    <row r="5" ht="18.0" customHeight="1">
      <c r="B5" s="4" t="s">
        <v>103</v>
      </c>
      <c r="C5" s="47" t="s">
        <v>150</v>
      </c>
    </row>
    <row r="6" ht="30.0" customHeight="1">
      <c r="B6" s="4" t="s">
        <v>152</v>
      </c>
      <c r="C6" s="47" t="s">
        <v>153</v>
      </c>
    </row>
    <row r="7" ht="45.0" customHeight="1">
      <c r="B7" s="4" t="s">
        <v>154</v>
      </c>
      <c r="C7" s="47" t="s">
        <v>155</v>
      </c>
    </row>
    <row r="8" ht="18.0" customHeight="1">
      <c r="B8" s="4" t="s">
        <v>123</v>
      </c>
      <c r="C8" s="47" t="s">
        <v>156</v>
      </c>
    </row>
    <row r="9" ht="30.0" customHeight="1">
      <c r="B9" s="4" t="s">
        <v>157</v>
      </c>
      <c r="C9" s="47" t="s">
        <v>158</v>
      </c>
    </row>
    <row r="10" ht="60.0" customHeight="1">
      <c r="B10" s="4" t="s">
        <v>159</v>
      </c>
      <c r="C10" s="47" t="s">
        <v>160</v>
      </c>
    </row>
    <row r="11" ht="30.0" customHeight="1">
      <c r="B11" s="4" t="s">
        <v>161</v>
      </c>
      <c r="C11" s="47" t="s">
        <v>162</v>
      </c>
    </row>
    <row r="12" ht="30.0" customHeight="1">
      <c r="B12" s="4" t="s">
        <v>163</v>
      </c>
      <c r="C12" s="47" t="s">
        <v>164</v>
      </c>
    </row>
    <row r="13" ht="30.0" customHeight="1">
      <c r="B13" s="4" t="s">
        <v>165</v>
      </c>
      <c r="C13" s="47" t="s">
        <v>166</v>
      </c>
    </row>
    <row r="15">
      <c r="B15" s="35" t="s">
        <v>167</v>
      </c>
    </row>
    <row r="16">
      <c r="B16" s="11" t="s">
        <v>38</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 footer="0.0" header="0.0" left="0.6" right="0.6" top="0.7"/>
  <pageSetup fitToHeight="0" paperSize="9" orientation="portrait"/>
  <headerFooter>
    <oddFooter>&amp;L A Sure Valley Ventures founder resource · svv.ai · v1 · 2026&amp;R Page &amp;P of </oddFooter>
  </headerFooter>
  <drawing r:id="rId1"/>
</worksheet>
</file>