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 use" sheetId="1" r:id="rId5"/>
    <sheet state="visible" name="Summary" sheetId="2" r:id="rId6"/>
    <sheet state="visible" name="Inputs" sheetId="3" r:id="rId7"/>
    <sheet state="visible" name="Hires" sheetId="4" r:id="rId8"/>
    <sheet state="visible" name="Cash plan" sheetId="5" r:id="rId9"/>
  </sheets>
  <definedNames/>
  <calcPr/>
</workbook>
</file>

<file path=xl/sharedStrings.xml><?xml version="1.0" encoding="utf-8"?>
<sst xmlns="http://schemas.openxmlformats.org/spreadsheetml/2006/main" count="196" uniqueCount="169">
  <si>
    <t>● A FOUNDER RESOURCE FROM SURE VALLEY VENTURES</t>
  </si>
  <si>
    <t>Cash plan and runway</t>
  </si>
  <si>
    <t>For pre-seed and seed-stage founders in the UK and Ireland · Version 1 · October 2026 · Worked example: Northlight AI Ltd (fictional)</t>
  </si>
  <si>
    <t>What this is for</t>
  </si>
  <si>
    <t>A month-by-month cash plan that tells you three things every investor will ask: how much you burn, when the cash runs out, and the latest month your next raise must open. Plan at least eighteen months; the grid holds thirty.</t>
  </si>
  <si>
    <t>When the next investor asks for it</t>
  </si>
  <si>
    <t>Financial diligence, and again at every board meeting. Investors read the raise date off this sheet before they read anything else.</t>
  </si>
  <si>
    <t>How to fill it in</t>
  </si>
  <si>
    <t>→  Blue cells are yours to fill in; white cells calculate. Start by overwriting the example values (Northlight AI Ltd is fictional).</t>
  </si>
  <si>
    <t>→  Inputs tab: opening cash, the first month, your cash floor, the raise lead time (six months), your planned raise date, the people on payroll today, and the non-people cost lines with a starting amount and a monthly growth rate.</t>
  </si>
  <si>
    <t>● THE THREE NUMBERS INVESTORS READ FIRST</t>
  </si>
  <si>
    <t>→  Hires tab: each planned hire with a start month and its full monthly cost (salary, commission, employer on-costs). Mark "Include" Yes to put it in the plan.</t>
  </si>
  <si>
    <t>→  Cash plan tab: type the cash you expect to collect each month in the three blue revenue rows (use your revenue register; annual-in-advance billing brings cash forward). Everything else calculates. Use the Adjustments row for one-offs.</t>
  </si>
  <si>
    <t>→  Summary tab: the cash-out month, runway, and the latest month the raise must open.</t>
  </si>
  <si>
    <t>Summary</t>
  </si>
  <si>
    <t>The 30-minute version</t>
  </si>
  <si>
    <t>→  Inputs: opening cash, first month, people today, non-people lines.</t>
  </si>
  <si>
    <t>→  Hires: the next two or three hires with start months.</t>
  </si>
  <si>
    <t>→  Cash plan: collected revenue for the next twelve months.</t>
  </si>
  <si>
    <t>→  Read the Summary.</t>
  </si>
  <si>
    <t>The standard: what the next investor will test</t>
  </si>
  <si>
    <t>CASH-OUT MONTH (FIRST MONTH CLOSING CASH IS BELOW ZERO)</t>
  </si>
  <si>
    <t>✓  Eighteen months of runway at the close of a round, and a raise that opens twelve months in: fundraising takes about six months, so the raise opens six months before the cash runs out at the latest.</t>
  </si>
  <si>
    <t>✓  Hires costed in full (salary, commission, employer pension and national insurance or PRSI) from their start month.</t>
  </si>
  <si>
    <t>● WHAT YOU KNOW TODAY</t>
  </si>
  <si>
    <t>● PLANNED HIRES</t>
  </si>
  <si>
    <t>Inputs</t>
  </si>
  <si>
    <t>Hires</t>
  </si>
  <si>
    <t>Money in the currency you choose. Dates are the first of the month (DD/MM/YYYY).</t>
  </si>
  <si>
    <t>Full monthly cost from the start month: salary, commission or bonus, employer pension and national insurance or PRSI. The hiring plan template builds this table for you.</t>
  </si>
  <si>
    <t>Blue cells</t>
  </si>
  <si>
    <t>✓  Hosting and model inference as their own line, growing with usage: investors in AI companies look for it.</t>
  </si>
  <si>
    <t>✓  Cash collected, not revenue recognised: the plan is about the bank balance.</t>
  </si>
  <si>
    <t>✓  The same plan, updated monthly, with actuals beside it: a plan nobody updates is a guess.</t>
  </si>
  <si>
    <t>Common mistakes</t>
  </si>
  <si>
    <t>– you fill in.</t>
  </si>
  <si>
    <t>White cells</t>
  </si>
  <si>
    <t>✕  Planning revenue as ARR ÷ 12 when customers pay annually in advance (cash arrives earlier) or quarterly in arrears (later).</t>
  </si>
  <si>
    <t>– calculated; do not type over them.</t>
  </si>
  <si>
    <t>● EXAMPLE · FICTIONAL COMPANY — Northlight AI Ltd. Overwrite every blue cell with your own numbers.</t>
  </si>
  <si>
    <t>✕  Forgetting employer on-costs, recruitment fees, notice periods and the two to three months a sales hire takes to ramp.</t>
  </si>
  <si>
    <t>✕  Treating a grant or R&amp;D tax credit as certain cash in the month you apply for it.</t>
  </si>
  <si>
    <t>✕  Opening the raise when the cash is nearly gone: a raise that starts with four months of runway is priced as a rescue.</t>
  </si>
  <si>
    <t>✕  A plan with no cash floor: keep at least two months of burn in the bank at all times.</t>
  </si>
  <si>
    <t>Tabs in this file</t>
  </si>
  <si>
    <t>•  Inputs — opening cash, dates, people today, cost lines</t>
  </si>
  <si>
    <t>•  Hires — planned hires with start months and costs</t>
  </si>
  <si>
    <t>•  Cash plan — the monthly grid; three blue revenue rows and an adjustments row are yours</t>
  </si>
  <si>
    <t>The basics</t>
  </si>
  <si>
    <t>•  Summary — cash-out month, runway, raise date</t>
  </si>
  <si>
    <t>Role</t>
  </si>
  <si>
    <t>– you fill in.   White cells with borders – calculated.   Teal rows – the fictional worked example, to overwrite.</t>
  </si>
  <si>
    <t>Company</t>
  </si>
  <si>
    <t>Not legal, tax or financial advice. Check anything with legal or tax consequences with your solicitor or accountant.</t>
  </si>
  <si>
    <t>A Sure Valley Ventures founder resource · svv.ai · v1 · 2026</t>
  </si>
  <si>
    <t>Northlight AI Ltd</t>
  </si>
  <si>
    <t>Function</t>
  </si>
  <si>
    <t>Start month</t>
  </si>
  <si>
    <t>Monthly cost</t>
  </si>
  <si>
    <t>Include?</t>
  </si>
  <si>
    <t>Currency symbol</t>
  </si>
  <si>
    <t>Who covers the gap until the start</t>
  </si>
  <si>
    <t>Notes</t>
  </si>
  <si>
    <t>£</t>
  </si>
  <si>
    <t>LATEST MONTH THE NEXT RAISE MUST OPEN (CASH-OUT MINUS LEAD TIME)</t>
  </si>
  <si>
    <t>Account executive</t>
  </si>
  <si>
    <t>First month of the plan</t>
  </si>
  <si>
    <t>Opening cash at the start of the first month</t>
  </si>
  <si>
    <t>Bank balance on day one, after the round has landed and the round costs are paid.</t>
  </si>
  <si>
    <t>Cash floor you will not go below</t>
  </si>
  <si>
    <t>Two months of burn is the usual minimum.</t>
  </si>
  <si>
    <t>Raise lead time (months from opening a raise to cash in the bank)</t>
  </si>
  <si>
    <t>Six months is typical at seed and Series A; longer in a slow market.</t>
  </si>
  <si>
    <t>Planned opening of the next raise</t>
  </si>
  <si>
    <t>Usually month twelve after a round: eighteen months of runway, six to raise.</t>
  </si>
  <si>
    <t>Today (for the countdown; leave as the formula)</t>
  </si>
  <si>
    <t>Sales</t>
  </si>
  <si>
    <t>RUNWAY FROM THE FIRST MONTH (MONTHS OF POSITIVE CASH)</t>
  </si>
  <si>
    <t>Yes</t>
  </si>
  <si>
    <t>CEO runs all deals until start</t>
  </si>
  <si>
    <t>People on payroll today (full monthly cost: salary, employer pension, national insurance or PRSI, benefits)</t>
  </si>
  <si>
    <t>Salary + commission + employer on-costs</t>
  </si>
  <si>
    <t>Forward-deployed engineer</t>
  </si>
  <si>
    <t>Delivery</t>
  </si>
  <si>
    <t>The raise</t>
  </si>
  <si>
    <t>CTO + engineer 1</t>
  </si>
  <si>
    <t>Onboarding and integrations</t>
  </si>
  <si>
    <t>Maya Okoro, CEO</t>
  </si>
  <si>
    <t>Sales development rep</t>
  </si>
  <si>
    <t>Founder outbound 8h/week</t>
  </si>
  <si>
    <t>Outbound and list building</t>
  </si>
  <si>
    <t>Customer success manager</t>
  </si>
  <si>
    <t>Tomás Reilly, CTO</t>
  </si>
  <si>
    <t>Customer success</t>
  </si>
  <si>
    <t>Software engineer 1</t>
  </si>
  <si>
    <t>Onboarding, usage, renewals</t>
  </si>
  <si>
    <t>Latest it can open</t>
  </si>
  <si>
    <t>Senior ML engineer</t>
  </si>
  <si>
    <t>Engineering</t>
  </si>
  <si>
    <t>Software engineer 2</t>
  </si>
  <si>
    <t>Advisor (fractional), CTO</t>
  </si>
  <si>
    <t>Product designer</t>
  </si>
  <si>
    <t>Model evaluation and accuracy</t>
  </si>
  <si>
    <t>Buffer between planned and latest (months)</t>
  </si>
  <si>
    <t>People cost today, per month</t>
  </si>
  <si>
    <t>Negative means the plan does not work: cut burn, bring the raise forward, or both.</t>
  </si>
  <si>
    <t>Months from today until the planned opening</t>
  </si>
  <si>
    <t>Monthly cost of all included hires once started</t>
  </si>
  <si>
    <t>First month below the cash floor</t>
  </si>
  <si>
    <t>Headcount today</t>
  </si>
  <si>
    <t>Burn and growth</t>
  </si>
  <si>
    <t>Non-people costs: starting amount in month 1 and the monthly growth rate</t>
  </si>
  <si>
    <t>Average monthly net burn, months 1–12</t>
  </si>
  <si>
    <t>Cost line</t>
  </si>
  <si>
    <t>Month 1 amount</t>
  </si>
  <si>
    <t>Growth per month</t>
  </si>
  <si>
    <t>What is in it</t>
  </si>
  <si>
    <t>Contractors and freelancers</t>
  </si>
  <si>
    <t>Total net burn, months 1–18</t>
  </si>
  <si>
    <t>Design, data labelling, fractional roles</t>
  </si>
  <si>
    <t>Hosting and model inference</t>
  </si>
  <si>
    <t>Cloud, model API calls, vector storage; grows with usage</t>
  </si>
  <si>
    <t>Software and tools</t>
  </si>
  <si>
    <t>CRM, productivity, security tooling, analytics</t>
  </si>
  <si>
    <t>Cash collected in month 12</t>
  </si>
  <si>
    <t>Marketing and events</t>
  </si>
  <si>
    <t>Events, content, paid, sequences; grows as outbound scales</t>
  </si>
  <si>
    <t>Office and travel</t>
  </si>
  <si>
    <t>Desk space, customer travel</t>
  </si>
  <si>
    <t>Cash out in month 12</t>
  </si>
  <si>
    <t>Professional fees</t>
  </si>
  <si>
    <t>Accounting, legal, payroll, company secretarial</t>
  </si>
  <si>
    <t>Insurance</t>
  </si>
  <si>
    <t>Headcount in month 12</t>
  </si>
  <si>
    <t>Cyber, professional indemnity, employer's and public liability</t>
  </si>
  <si>
    <t>Other</t>
  </si>
  <si>
    <t>Recruitment, equipment, subscriptions</t>
  </si>
  <si>
    <t>People cost as a share of cash out, month 12</t>
  </si>
  <si>
    <t>● MONTH BY MONTH</t>
  </si>
  <si>
    <t>Non-people cost in month 1</t>
  </si>
  <si>
    <t>Cash plan</t>
  </si>
  <si>
    <t>Blue rows are yours: cash you expect to collect, and one-off adjustments. Every other row calculates from Inputs and Hires. Negative numbers are in brackets.</t>
  </si>
  <si>
    <t>Hosting and inference as a share of cash collected, month 12</t>
  </si>
  <si>
    <t>Growth per month compounds: 10% a month is 3.1x in a year. Use it for lines that scale with customers (inference, marketing); leave 0% for fixed lines.</t>
  </si>
  <si>
    <t>Month number</t>
  </si>
  <si>
    <t>Read this before the board meeting</t>
  </si>
  <si>
    <t>→  Say the three numbers out loud: burn, cash-out month, latest raise opening. If the buffer is under three months, change the plan this month.</t>
  </si>
  <si>
    <t>→  The next investor will test that the raise opens with at least six months of cash and that the plan reaches the numbers the round needs before it opens.</t>
  </si>
  <si>
    <t>→  Update actuals monthly: replace the blue revenue cells with what you collected and the adjustments row with what you spent.</t>
  </si>
  <si>
    <t>Month</t>
  </si>
  <si>
    <t>Cash in</t>
  </si>
  <si>
    <t>Recurring revenue collected</t>
  </si>
  <si>
    <t>Pilot, set-up and one-off fees collected</t>
  </si>
  <si>
    <t>Other cash in (grants, R&amp;D credits, VAT refunds)</t>
  </si>
  <si>
    <t>Total cash in</t>
  </si>
  <si>
    <t>Cash out</t>
  </si>
  <si>
    <t>People on payroll today</t>
  </si>
  <si>
    <t>New hires (from the Hires tab)</t>
  </si>
  <si>
    <t>Adjustments and one-offs (equipment, recruitment fees, deposits)</t>
  </si>
  <si>
    <t>Total cash out</t>
  </si>
  <si>
    <t>Cash position</t>
  </si>
  <si>
    <t>Net cash flow (burn when negative)</t>
  </si>
  <si>
    <t>Opening cash</t>
  </si>
  <si>
    <t>Closing cash</t>
  </si>
  <si>
    <t>Months of cash left from here (per this plan)</t>
  </si>
  <si>
    <t>Headcount</t>
  </si>
  <si>
    <t>Below the cash floor? (1 = yes)</t>
  </si>
  <si>
    <t>Cash gone? (1 = yes)</t>
  </si>
  <si>
    <t>Closing cash turns blue below your cash floor and red when it is gone. The raise must have landed before the first blue month.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</si>
</sst>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m\ yyyy"/>
    <numFmt numFmtId="165" formatCode="dd/mm/yyyy"/>
    <numFmt numFmtId="166" formatCode="\£#,##0;&quot;(£&quot;#,##0\);\–"/>
    <numFmt numFmtId="167" formatCode="0.0%;\(0.0%\);\–"/>
  </numFmts>
  <fonts count="19">
    <font>
      <sz val="11.0"/>
      <color theme="1"/>
      <name val="Calibri"/>
      <scheme val="minor"/>
    </font>
    <font>
      <b/>
      <sz val="8.0"/>
      <color rgb="FF0573AD"/>
      <name val="Inter"/>
    </font>
    <font>
      <b/>
      <sz val="22.0"/>
      <color rgb="FF0A1218"/>
      <name val="Inter"/>
    </font>
    <font>
      <sz val="9.0"/>
      <color rgb="FF646F79"/>
      <name val="Inter"/>
    </font>
    <font>
      <b/>
      <sz val="10.0"/>
      <color rgb="FF0A1218"/>
      <name val="Inter"/>
    </font>
    <font>
      <sz val="10.0"/>
      <color rgb="FF3D4A55"/>
      <name val="Inter"/>
    </font>
    <font>
      <b/>
      <sz val="18.0"/>
      <color rgb="FF0A1218"/>
      <name val="Inter"/>
    </font>
    <font>
      <b/>
      <sz val="7.0"/>
      <color rgb="FF646F79"/>
      <name val="Inter"/>
    </font>
    <font>
      <b/>
      <sz val="9.0"/>
      <color rgb="FF0A1218"/>
      <name val="Inter"/>
    </font>
    <font>
      <sz val="11.0"/>
      <color theme="1"/>
      <name val="Calibri"/>
    </font>
    <font>
      <b/>
      <sz val="8.0"/>
      <color rgb="FF0573AD"/>
      <name val="Inter"/>
    </font>
    <font>
      <b/>
      <sz val="18.0"/>
      <color rgb="FF0573AD"/>
      <name val="Inter"/>
    </font>
    <font>
      <sz val="10.0"/>
      <color rgb="FF0A1218"/>
      <name val="Inter"/>
    </font>
    <font>
      <i/>
      <sz val="8.0"/>
      <color rgb="FF646F79"/>
      <name val="Inter"/>
    </font>
    <font>
      <b/>
      <sz val="9.0"/>
      <color rgb="FFFFFFFF"/>
      <name val="Inter"/>
    </font>
    <font>
      <sz val="7.0"/>
      <color rgb="FF646F79"/>
      <name val="Inter"/>
    </font>
    <font>
      <b/>
      <sz val="8.0"/>
      <name val="Inter"/>
      <color rgb="FF14B1E7"/>
    </font>
    <font>
      <b/>
      <sz val="22.0"/>
      <name val="Inter"/>
      <color rgb="FFFFFFFF"/>
    </font>
    <font>
      <sz val="9.0"/>
      <name val="Inter"/>
      <color rgb="FFC9D4DA"/>
    </font>
  </fonts>
  <fills count="8">
    <fill>
      <patternFill patternType="none"/>
    </fill>
    <fill>
      <patternFill patternType="lightGray"/>
    </fill>
    <fill>
      <patternFill patternType="solid">
        <fgColor rgb="FFE2F5FC"/>
        <bgColor rgb="FFE2F5FC"/>
      </patternFill>
    </fill>
    <fill>
      <patternFill patternType="solid">
        <fgColor rgb="FFFBEBEB"/>
        <bgColor rgb="FFFBEBEB"/>
      </patternFill>
    </fill>
    <fill>
      <patternFill patternType="solid">
        <fgColor rgb="FFEEF2F4"/>
        <bgColor rgb="FFEEF2F4"/>
      </patternFill>
    </fill>
    <fill>
      <patternFill patternType="solid">
        <fgColor rgb="FFF3F5F6"/>
        <bgColor rgb="FFF3F5F6"/>
      </patternFill>
    </fill>
    <fill>
      <patternFill patternType="solid">
        <fgColor rgb="FF0A1218"/>
        <bgColor rgb="FF0A1218"/>
      </patternFill>
    </fill>
    <fill>
      <patternFill patternType="solid">
        <fgColor rgb="FF0A1218"/>
        <bgColor indexed="64"/>
      </patternFill>
    </fill>
  </fills>
  <borders count="6">
    <border/>
    <border>
      <left style="thin">
        <color rgb="FFDDE3E7"/>
      </left>
      <right style="thin">
        <color rgb="FFDDE3E7"/>
      </right>
      <top style="thin">
        <color rgb="FFDDE3E7"/>
      </top>
      <bottom style="dotted">
        <color rgb="FFC3CBD1"/>
      </bottom>
    </border>
    <border>
      <left/>
      <right/>
      <top/>
      <bottom/>
    </border>
    <border>
      <left style="thin">
        <color rgb="FFDDE3E7"/>
      </left>
      <right style="thin">
        <color rgb="FFDDE3E7"/>
      </right>
      <top style="thin">
        <color rgb="FFDDE3E7"/>
      </top>
      <bottom style="thin">
        <color rgb="FFDDE3E7"/>
      </bottom>
    </border>
    <border>
      <left/>
      <right/>
      <top style="thin">
        <color rgb="FFDDE3E7"/>
      </top>
      <bottom style="thin">
        <color rgb="FFDDE3E7"/>
      </bottom>
    </border>
    <border>
      <left style="thin">
        <color rgb="FF0A1218"/>
      </left>
      <right style="thin">
        <color rgb="FF0A1218"/>
      </right>
      <top/>
      <bottom/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left" shrinkToFit="0" vertical="top" wrapText="1"/>
    </xf>
    <xf borderId="1" fillId="2" fontId="8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0"/>
    </xf>
    <xf borderId="2" fillId="3" fontId="4" numFmtId="0" xfId="0" applyAlignment="1" applyBorder="1" applyFill="1" applyFont="1">
      <alignment horizontal="left" shrinkToFit="0" vertical="top" wrapText="1"/>
    </xf>
    <xf borderId="3" fillId="0" fontId="8" numFmtId="0" xfId="0" applyAlignment="1" applyBorder="1" applyFont="1">
      <alignment horizontal="center" shrinkToFit="0" vertical="center" wrapText="1"/>
    </xf>
    <xf borderId="2" fillId="3" fontId="5" numFmtId="0" xfId="0" applyAlignment="1" applyBorder="1" applyFill="1" applyFont="1">
      <alignment horizontal="left" shrinkToFit="0" vertical="top" wrapText="1"/>
    </xf>
    <xf borderId="2" fillId="3" fontId="9" numFmtId="0" xfId="0" applyAlignment="1" applyBorder="1" applyFill="1" applyFont="1">
      <alignment shrinkToFit="0" vertical="bottom" wrapText="0"/>
    </xf>
    <xf borderId="2" fillId="4" fontId="10" numFmtId="0" xfId="0" applyAlignment="1" applyBorder="1" applyFill="1" applyFont="1">
      <alignment horizontal="left" shrinkToFit="0" vertical="center" wrapText="0"/>
    </xf>
    <xf borderId="2" fillId="4" fontId="9" numFmtId="0" xfId="0" applyAlignment="1" applyBorder="1" applyFill="1" applyFont="1">
      <alignment shrinkToFit="0" vertical="bottom" wrapText="0"/>
    </xf>
    <xf borderId="4" fillId="5" fontId="4" numFmtId="0" xfId="0" applyAlignment="1" applyBorder="1" applyFill="1" applyFont="1">
      <alignment horizontal="left" shrinkToFit="0" vertical="center" wrapText="0"/>
    </xf>
    <xf borderId="4" fillId="5" fontId="9" numFmtId="0" xfId="0" applyAlignment="1" applyBorder="1" applyFill="1" applyFont="1">
      <alignment shrinkToFit="0" vertical="bottom" wrapText="0"/>
    </xf>
    <xf borderId="0" fillId="0" fontId="12" numFmtId="0" xfId="0" applyAlignment="1" applyFont="1">
      <alignment horizontal="left" shrinkToFit="0" vertical="center" wrapText="1"/>
    </xf>
    <xf borderId="0" fillId="0" fontId="13" numFmtId="0" xfId="0" applyAlignment="1" applyFont="1">
      <alignment shrinkToFit="0" vertical="bottom" wrapText="0"/>
    </xf>
    <xf borderId="5" fillId="6" fontId="14" numFmtId="0" xfId="0" applyAlignment="1" applyBorder="1" applyFill="1" applyFont="1">
      <alignment horizontal="left" shrinkToFit="0" vertical="center" wrapText="1"/>
    </xf>
    <xf borderId="0" fillId="0" fontId="15" numFmtId="0" xfId="0" applyAlignment="1" applyFont="1">
      <alignment shrinkToFit="0" vertical="bottom" wrapText="0"/>
    </xf>
    <xf borderId="1" fillId="2" fontId="12" numFmtId="0" xfId="0" applyAlignment="1" applyBorder="1" applyFill="1" applyFont="1">
      <alignment horizontal="left" shrinkToFit="0" vertical="center" wrapText="1"/>
    </xf>
    <xf borderId="0" fillId="0" fontId="11" numFmtId="164" xfId="0" applyAlignment="1" applyFont="1" applyNumberFormat="1">
      <alignment horizontal="left" shrinkToFit="1" vertical="center" wrapText="0"/>
    </xf>
    <xf borderId="1" fillId="2" fontId="12" numFmtId="0" xfId="0" applyAlignment="1" applyBorder="1" applyFill="1" applyFont="1">
      <alignment horizontal="center" shrinkToFit="0" vertical="center" wrapText="1"/>
    </xf>
    <xf borderId="1" fillId="2" fontId="12" numFmtId="165" xfId="0" applyAlignment="1" applyBorder="1" applyFill="1" applyFont="1" applyNumberFormat="1">
      <alignment horizontal="left" shrinkToFit="0" vertical="center" wrapText="1"/>
    </xf>
    <xf borderId="1" fillId="2" fontId="12" numFmtId="166" xfId="0" applyAlignment="1" applyBorder="1" applyFill="1" applyFont="1" applyNumberFormat="1">
      <alignment horizontal="right" shrinkToFit="0" vertical="center" wrapText="0"/>
    </xf>
    <xf borderId="0" fillId="0" fontId="13" numFmtId="0" xfId="0" applyAlignment="1" applyFont="1">
      <alignment horizontal="left" shrinkToFit="0" vertical="top" wrapText="1"/>
    </xf>
    <xf borderId="1" fillId="2" fontId="12" numFmtId="1" xfId="0" applyAlignment="1" applyBorder="1" applyFill="1" applyFont="1" applyNumberFormat="1">
      <alignment horizontal="right" shrinkToFit="0" vertical="center" wrapText="0"/>
    </xf>
    <xf borderId="3" fillId="0" fontId="12" numFmtId="165" xfId="0" applyAlignment="1" applyBorder="1" applyFont="1" applyNumberFormat="1">
      <alignment horizontal="right" shrinkToFit="0" vertical="center" wrapText="0"/>
    </xf>
    <xf borderId="0" fillId="0" fontId="11" numFmtId="1" xfId="0" applyAlignment="1" applyFont="1" applyNumberFormat="1">
      <alignment horizontal="left" shrinkToFit="1" vertical="center" wrapText="0"/>
    </xf>
    <xf borderId="3" fillId="0" fontId="12" numFmtId="164" xfId="0" applyAlignment="1" applyBorder="1" applyFont="1" applyNumberFormat="1">
      <alignment horizontal="right" shrinkToFit="0" vertical="center" wrapText="0"/>
    </xf>
    <xf borderId="0" fillId="0" fontId="4" numFmtId="0" xfId="0" applyAlignment="1" applyFont="1">
      <alignment horizontal="left" shrinkToFit="0" vertical="center" wrapText="1"/>
    </xf>
    <xf borderId="3" fillId="0" fontId="12" numFmtId="1" xfId="0" applyAlignment="1" applyBorder="1" applyFont="1" applyNumberFormat="1">
      <alignment horizontal="right" shrinkToFit="0" vertical="center" wrapText="0"/>
    </xf>
    <xf borderId="3" fillId="0" fontId="4" numFmtId="166" xfId="0" applyAlignment="1" applyBorder="1" applyFont="1" applyNumberFormat="1">
      <alignment horizontal="right" shrinkToFit="0" vertical="center" wrapText="0"/>
    </xf>
    <xf borderId="3" fillId="0" fontId="12" numFmtId="166" xfId="0" applyAlignment="1" applyBorder="1" applyFont="1" applyNumberFormat="1">
      <alignment horizontal="right" shrinkToFit="0" vertical="center" wrapText="0"/>
    </xf>
    <xf borderId="1" fillId="2" fontId="12" numFmtId="167" xfId="0" applyAlignment="1" applyBorder="1" applyFill="1" applyFont="1" applyNumberFormat="1">
      <alignment horizontal="right" shrinkToFit="0" vertical="center" wrapText="0"/>
    </xf>
    <xf borderId="3" fillId="0" fontId="12" numFmtId="167" xfId="0" applyAlignment="1" applyBorder="1" applyFont="1" applyNumberFormat="1">
      <alignment horizontal="right" shrinkToFit="0" vertical="center" wrapText="0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right" shrinkToFit="0" vertical="center" wrapText="0"/>
    </xf>
    <xf borderId="2" fillId="6" fontId="14" numFmtId="0" xfId="0" applyAlignment="1" applyBorder="1" applyFill="1" applyFont="1">
      <alignment shrinkToFit="0" vertical="bottom" wrapText="0"/>
    </xf>
    <xf borderId="2" fillId="6" fontId="14" numFmtId="164" xfId="0" applyAlignment="1" applyBorder="1" applyFill="1" applyFont="1" applyNumberFormat="1">
      <alignment horizontal="right" shrinkToFit="0" vertical="center" wrapText="0"/>
    </xf>
    <xf borderId="3" fillId="0" fontId="12" numFmtId="0" xfId="0" applyAlignment="1" applyBorder="1" applyFont="1">
      <alignment horizontal="left" shrinkToFit="0" vertical="center" wrapText="1"/>
    </xf>
    <xf borderId="3" fillId="0" fontId="3" numFmtId="1" xfId="0" applyAlignment="1" applyBorder="1" applyFont="1" applyNumberFormat="1">
      <alignment horizontal="right" shrinkToFit="0" vertical="center" wrapText="0"/>
    </xf>
    <xf borderId="0" fillId="7" fontId="0" numFmtId="0" xfId="0" applyAlignment="1" applyFont="1" applyFill="1">
      <alignment readingOrder="0" shrinkToFit="0" vertical="bottom" wrapText="0"/>
    </xf>
    <xf borderId="0" fillId="7" fontId="16" numFmtId="0" xfId="0" applyAlignment="1" applyFont="1" applyFill="1">
      <alignment shrinkToFit="0" vertical="bottom" wrapText="0"/>
    </xf>
    <xf borderId="0" fillId="7" fontId="17" numFmtId="0" xfId="0" applyAlignment="1" applyFont="1" applyFill="1">
      <alignment shrinkToFit="0" vertical="bottom" wrapText="0"/>
    </xf>
    <xf borderId="0" fillId="7" fontId="18" numFmtId="0" xfId="0" applyAlignment="1" applyFont="1" applyFill="1">
      <alignment shrinkToFit="0" vertical="bottom" wrapText="0"/>
    </xf>
  </cellXfs>
  <cellStyles count="1">
    <cellStyle xfId="0" name="Normal" builtinId="0"/>
  </cellStyles>
  <dxfs count="1">
    <dxf>
      <font>
        <b/>
        <color rgb="FFEB3B47"/>
        <name val="Inter"/>
      </font>
      <fill>
        <patternFill patternType="solid">
          <fgColor rgb="FFFBEBEB"/>
          <bgColor rgb="FFFBEBEB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4.0"/>
    <col customWidth="1" min="3" max="3" width="100.0"/>
    <col customWidth="1" min="4" max="4" width="3.0"/>
    <col customWidth="1" min="5" max="26" width="8.71"/>
  </cols>
  <sheetData>
    <row r="1" ht="14" customHeight="1">
      <c r="A1" s="45"/>
      <c r="B1" s="45"/>
      <c r="C1" s="45"/>
      <c r="D1" s="45"/>
    </row>
    <row r="2">
      <c r="A2" s="45"/>
      <c r="B2" s="46" t="s">
        <v>0</v>
      </c>
      <c r="C2" s="45"/>
      <c r="D2" s="45"/>
    </row>
    <row r="3" ht="33.75" customHeight="1">
      <c r="A3" s="45"/>
      <c r="B3" s="47" t="s">
        <v>1</v>
      </c>
      <c r="C3" s="45"/>
      <c r="D3" s="45"/>
    </row>
    <row r="4">
      <c r="A4" s="45"/>
      <c r="B4" s="48" t="s">
        <v>2</v>
      </c>
      <c r="C4" s="45"/>
      <c r="D4" s="45"/>
    </row>
    <row r="5" ht="14" customHeight="1">
      <c r="A5" s="45"/>
      <c r="B5" s="45"/>
      <c r="C5" s="45"/>
      <c r="D5" s="45"/>
    </row>
    <row r="6" ht="45.0" customHeight="1">
      <c r="B6" s="4" t="s">
        <v>3</v>
      </c>
      <c r="C6" s="5" t="s">
        <v>4</v>
      </c>
    </row>
    <row r="8" ht="30.0" customHeight="1">
      <c r="B8" s="4" t="s">
        <v>5</v>
      </c>
      <c r="C8" s="5" t="s">
        <v>6</v>
      </c>
    </row>
    <row r="10" ht="30.0" customHeight="1">
      <c r="B10" s="4" t="s">
        <v>7</v>
      </c>
      <c r="C10" s="5" t="s">
        <v>8</v>
      </c>
    </row>
    <row r="11" ht="45.0" customHeight="1">
      <c r="C11" s="5" t="s">
        <v>9</v>
      </c>
    </row>
    <row r="12" ht="30.0" customHeight="1">
      <c r="C12" s="5" t="s">
        <v>11</v>
      </c>
    </row>
    <row r="13" ht="45.0" customHeight="1">
      <c r="C13" s="5" t="s">
        <v>12</v>
      </c>
    </row>
    <row r="14" ht="15.75" customHeight="1">
      <c r="C14" s="5" t="s">
        <v>13</v>
      </c>
    </row>
    <row r="16" ht="15.75" customHeight="1">
      <c r="B16" s="4" t="s">
        <v>15</v>
      </c>
      <c r="C16" s="5" t="s">
        <v>16</v>
      </c>
    </row>
    <row r="17" ht="15.75" customHeight="1">
      <c r="C17" s="5" t="s">
        <v>17</v>
      </c>
    </row>
    <row r="18" ht="15.75" customHeight="1">
      <c r="C18" s="5" t="s">
        <v>18</v>
      </c>
    </row>
    <row r="19" ht="15.75" customHeight="1">
      <c r="C19" s="5" t="s">
        <v>19</v>
      </c>
    </row>
    <row r="21" ht="45.0" customHeight="1">
      <c r="B21" s="4" t="s">
        <v>20</v>
      </c>
      <c r="C21" s="5" t="s">
        <v>22</v>
      </c>
    </row>
    <row r="22" ht="30.0" customHeight="1">
      <c r="C22" s="5" t="s">
        <v>23</v>
      </c>
    </row>
    <row r="23" ht="30.0" customHeight="1">
      <c r="C23" s="5" t="s">
        <v>31</v>
      </c>
    </row>
    <row r="24" ht="15.75" customHeight="1">
      <c r="C24" s="5" t="s">
        <v>32</v>
      </c>
    </row>
    <row r="25" ht="15.75" customHeight="1">
      <c r="C25" s="5" t="s">
        <v>33</v>
      </c>
    </row>
    <row r="26" ht="15.75" customHeight="1"/>
    <row r="27" ht="30.0" customHeight="1">
      <c r="B27" s="11" t="s">
        <v>34</v>
      </c>
      <c r="C27" s="13" t="s">
        <v>37</v>
      </c>
    </row>
    <row r="28" ht="30.0" customHeight="1">
      <c r="B28" s="14"/>
      <c r="C28" s="13" t="s">
        <v>40</v>
      </c>
    </row>
    <row r="29" ht="15.75" customHeight="1">
      <c r="B29" s="14"/>
      <c r="C29" s="13" t="s">
        <v>41</v>
      </c>
    </row>
    <row r="30" ht="30.0" customHeight="1">
      <c r="B30" s="14"/>
      <c r="C30" s="13" t="s">
        <v>42</v>
      </c>
    </row>
    <row r="31" ht="15.75" customHeight="1">
      <c r="B31" s="14"/>
      <c r="C31" s="13" t="s">
        <v>43</v>
      </c>
    </row>
    <row r="32" ht="15.75" customHeight="1"/>
    <row r="33" ht="15.75" customHeight="1">
      <c r="B33" s="4" t="s">
        <v>44</v>
      </c>
      <c r="C33" s="5" t="s">
        <v>45</v>
      </c>
    </row>
    <row r="34" ht="15.75" customHeight="1">
      <c r="C34" s="5" t="s">
        <v>46</v>
      </c>
    </row>
    <row r="35" ht="15.75" customHeight="1">
      <c r="C35" s="5" t="s">
        <v>47</v>
      </c>
    </row>
    <row r="36" ht="15.75" customHeight="1">
      <c r="C36" s="5" t="s">
        <v>49</v>
      </c>
    </row>
    <row r="37" ht="15.75" customHeight="1"/>
    <row r="38" ht="15.75" customHeight="1">
      <c r="B38" s="9" t="s">
        <v>30</v>
      </c>
      <c r="C38" s="3" t="s">
        <v>51</v>
      </c>
    </row>
    <row r="39" ht="15.75" customHeight="1"/>
    <row r="40" ht="15.75" customHeight="1">
      <c r="B40" s="20" t="s">
        <v>53</v>
      </c>
    </row>
    <row r="41" ht="15.75" customHeight="1">
      <c r="B41" s="22" t="s">
        <v>54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" footer="0.0" header="0.0" left="0.6" right="0.6" top="0.7"/>
  <pageSetup fitToHeight="0" paperSize="9" orientation="portrait"/>
  <headerFooter>
    <oddFooter>&amp;L A Sure Valley Ventures founder resource · svv.ai · v1 · 2026&amp;R 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46.0"/>
    <col customWidth="1" min="3" max="3" width="20.0"/>
    <col customWidth="1" min="4" max="4" width="4.0"/>
    <col customWidth="1" min="5" max="5" width="60.0"/>
    <col customWidth="1" min="6" max="26" width="8.71"/>
  </cols>
  <sheetData>
    <row r="1" ht="13.5" customHeight="1">
      <c r="A1" s="1" t="s">
        <v>10</v>
      </c>
    </row>
    <row r="2" ht="27.75" customHeight="1">
      <c r="A2" s="6" t="s">
        <v>14</v>
      </c>
    </row>
    <row r="4" ht="12.75" customHeight="1">
      <c r="B4" s="7" t="s">
        <v>21</v>
      </c>
    </row>
    <row r="5" ht="27.75" customHeight="1">
      <c r="B5" s="24">
        <f t="array" ref="B5">IFERROR(INDEX('Cash plan'!$C$8:$AF$8,1,MATCH(1,'Cash plan'!$C$38:$AF$38,0)),"Beyond the plan")</f>
        <v>47119</v>
      </c>
    </row>
    <row r="6" ht="12.75" customHeight="1">
      <c r="B6" s="7" t="s">
        <v>64</v>
      </c>
    </row>
    <row r="7" ht="27.75" customHeight="1">
      <c r="B7" s="24">
        <f>IFERROR(EDATE($B$5,-Inputs!$C$15),"Beyond the plan")</f>
        <v>46935</v>
      </c>
    </row>
    <row r="8" ht="12.75" customHeight="1">
      <c r="B8" s="7" t="s">
        <v>77</v>
      </c>
    </row>
    <row r="9" ht="27.75" customHeight="1">
      <c r="B9" s="31">
        <f>IFERROR(MATCH(1,'Cash plan'!$C$38:$AF$38,0)-1,"More than 30")</f>
        <v>26</v>
      </c>
    </row>
    <row r="11" ht="18.0" customHeight="1">
      <c r="B11" s="17" t="s">
        <v>84</v>
      </c>
      <c r="C11" s="18"/>
      <c r="D11" s="18"/>
      <c r="E11" s="18"/>
    </row>
    <row r="12">
      <c r="B12" s="19" t="s">
        <v>73</v>
      </c>
      <c r="C12" s="32">
        <f>Inputs!$C$16</f>
        <v>46692</v>
      </c>
    </row>
    <row r="13">
      <c r="B13" s="19" t="s">
        <v>96</v>
      </c>
      <c r="C13" s="32">
        <f>$B$7</f>
        <v>46935</v>
      </c>
    </row>
    <row r="14">
      <c r="B14" s="19" t="s">
        <v>103</v>
      </c>
      <c r="C14" s="34">
        <f>IFERROR((YEAR($B$7)-YEAR(Inputs!$C$16))*12+MONTH($B$7)-MONTH(Inputs!$C$16),"–")</f>
        <v>8</v>
      </c>
      <c r="E14" s="28" t="s">
        <v>105</v>
      </c>
    </row>
    <row r="15">
      <c r="B15" s="19" t="s">
        <v>106</v>
      </c>
      <c r="C15" s="34">
        <f>(YEAR(Inputs!$C$16)-YEAR(Inputs!$C$17))*12+MONTH(Inputs!$C$16)-MONTH(Inputs!$C$17)</f>
        <v>13</v>
      </c>
    </row>
    <row r="16">
      <c r="B16" s="19" t="s">
        <v>108</v>
      </c>
      <c r="C16" s="32">
        <f t="array" ref="C16">IFERROR(INDEX('Cash plan'!$C$8:$AF$8,1,MATCH(1,'Cash plan'!$C$37:$AF$37,0)),"Beyond the plan")</f>
        <v>47088</v>
      </c>
    </row>
    <row r="18" ht="18.0" customHeight="1">
      <c r="B18" s="17" t="s">
        <v>110</v>
      </c>
      <c r="C18" s="18"/>
      <c r="D18" s="18"/>
      <c r="E18" s="18"/>
    </row>
    <row r="19">
      <c r="B19" s="19" t="s">
        <v>112</v>
      </c>
      <c r="C19" s="36">
        <f>-AVERAGE('Cash plan'!C32:N32)</f>
        <v>51517.46791</v>
      </c>
    </row>
    <row r="20">
      <c r="B20" s="19" t="s">
        <v>118</v>
      </c>
      <c r="C20" s="36">
        <f>-SUM('Cash plan'!C32:T32)</f>
        <v>976950.3044</v>
      </c>
    </row>
    <row r="21" ht="15.75" customHeight="1">
      <c r="B21" s="19" t="s">
        <v>124</v>
      </c>
      <c r="C21" s="36">
        <f>'Cash plan'!N13</f>
        <v>58000</v>
      </c>
    </row>
    <row r="22" ht="15.75" customHeight="1">
      <c r="B22" s="19" t="s">
        <v>129</v>
      </c>
      <c r="C22" s="36">
        <f>'Cash plan'!N29</f>
        <v>108956.8506</v>
      </c>
    </row>
    <row r="23" ht="15.75" customHeight="1">
      <c r="B23" s="19" t="s">
        <v>133</v>
      </c>
      <c r="C23" s="34">
        <f>'Cash plan'!N36</f>
        <v>10</v>
      </c>
    </row>
    <row r="24" ht="15.75" customHeight="1">
      <c r="B24" s="19" t="s">
        <v>137</v>
      </c>
      <c r="C24" s="38">
        <f>IFERROR(('Cash plan'!N16+'Cash plan'!N17)/'Cash plan'!N29,0)</f>
        <v>0.6195112984</v>
      </c>
    </row>
    <row r="25" ht="15.75" customHeight="1">
      <c r="B25" s="19" t="s">
        <v>142</v>
      </c>
      <c r="C25" s="38">
        <f>IFERROR('Cash plan'!N19/'Cash plan'!N13,0)</f>
        <v>0.2459583367</v>
      </c>
    </row>
    <row r="26" ht="15.75" customHeight="1"/>
    <row r="27" ht="18.0" customHeight="1">
      <c r="B27" s="17" t="s">
        <v>145</v>
      </c>
      <c r="C27" s="18"/>
      <c r="D27" s="18"/>
      <c r="E27" s="18"/>
    </row>
    <row r="28" ht="30.0" customHeight="1">
      <c r="B28" s="5" t="s">
        <v>146</v>
      </c>
    </row>
    <row r="29" ht="30.0" customHeight="1">
      <c r="B29" s="5" t="s">
        <v>147</v>
      </c>
    </row>
    <row r="30" ht="30.0" customHeight="1">
      <c r="B30" s="5" t="s">
        <v>148</v>
      </c>
    </row>
    <row r="31" ht="15.75" customHeight="1"/>
    <row r="32" ht="15.75" customHeight="1">
      <c r="B32" s="22" t="s">
        <v>54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29:E29"/>
    <mergeCell ref="B30:E30"/>
    <mergeCell ref="B4:C4"/>
    <mergeCell ref="B5:C5"/>
    <mergeCell ref="B6:C6"/>
    <mergeCell ref="B7:C7"/>
    <mergeCell ref="B8:C8"/>
    <mergeCell ref="B9:C9"/>
    <mergeCell ref="B28:E28"/>
  </mergeCells>
  <conditionalFormatting sqref="C14">
    <cfRule type="cellIs" dxfId="0" priority="1" operator="lessThan">
      <formula>0</formula>
    </cfRule>
  </conditionalFormatting>
  <printOptions/>
  <pageMargins bottom="0.7" footer="0.0" header="0.0" left="0.6" right="0.6" top="0.7"/>
  <pageSetup fitToHeight="0" paperSize="9" orientation="portrait"/>
  <headerFooter>
    <oddFooter>&amp;L A Sure Valley Ventures founder resource · svv.ai · v1 · 2026&amp;R Page &amp;P of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.0"/>
    <col customWidth="1" min="2" max="2" width="42.0"/>
    <col customWidth="1" min="3" max="3" width="18.0"/>
    <col customWidth="1" min="4" max="4" width="16.0"/>
    <col customWidth="1" min="5" max="5" width="14.0"/>
    <col customWidth="1" min="6" max="6" width="44.0"/>
    <col customWidth="1" min="7" max="26" width="8.71"/>
  </cols>
  <sheetData>
    <row r="1" ht="13.5" customHeight="1">
      <c r="A1" s="1" t="s">
        <v>24</v>
      </c>
    </row>
    <row r="2" ht="27.75" customHeight="1">
      <c r="A2" s="6" t="s">
        <v>26</v>
      </c>
    </row>
    <row r="3" ht="31.5" customHeight="1">
      <c r="A3" s="8" t="s">
        <v>28</v>
      </c>
    </row>
    <row r="5" ht="18.0" customHeight="1">
      <c r="B5" s="9" t="s">
        <v>30</v>
      </c>
      <c r="C5" s="10" t="s">
        <v>35</v>
      </c>
      <c r="D5" s="12" t="s">
        <v>36</v>
      </c>
      <c r="E5" s="10" t="s">
        <v>38</v>
      </c>
    </row>
    <row r="7" ht="18.0" customHeight="1">
      <c r="B7" s="15" t="s">
        <v>39</v>
      </c>
      <c r="C7" s="16"/>
      <c r="D7" s="16"/>
      <c r="E7" s="16"/>
      <c r="F7" s="16"/>
    </row>
    <row r="9" ht="18.0" customHeight="1">
      <c r="B9" s="17" t="s">
        <v>48</v>
      </c>
      <c r="C9" s="18"/>
      <c r="D9" s="18"/>
      <c r="E9" s="18"/>
      <c r="F9" s="18"/>
    </row>
    <row r="10">
      <c r="B10" s="19" t="s">
        <v>52</v>
      </c>
      <c r="C10" s="23" t="s">
        <v>55</v>
      </c>
    </row>
    <row r="11">
      <c r="B11" s="19" t="s">
        <v>60</v>
      </c>
      <c r="C11" s="25" t="s">
        <v>63</v>
      </c>
    </row>
    <row r="12">
      <c r="B12" s="19" t="s">
        <v>66</v>
      </c>
      <c r="C12" s="26">
        <v>46327.0</v>
      </c>
    </row>
    <row r="13">
      <c r="B13" s="19" t="s">
        <v>67</v>
      </c>
      <c r="C13" s="27">
        <v>1620000.0</v>
      </c>
      <c r="F13" s="28" t="s">
        <v>68</v>
      </c>
    </row>
    <row r="14">
      <c r="B14" s="19" t="s">
        <v>69</v>
      </c>
      <c r="C14" s="27">
        <v>150000.0</v>
      </c>
      <c r="F14" s="28" t="s">
        <v>70</v>
      </c>
    </row>
    <row r="15">
      <c r="B15" s="19" t="s">
        <v>71</v>
      </c>
      <c r="C15" s="29">
        <v>6.0</v>
      </c>
      <c r="F15" s="28" t="s">
        <v>72</v>
      </c>
    </row>
    <row r="16">
      <c r="B16" s="19" t="s">
        <v>73</v>
      </c>
      <c r="C16" s="26">
        <v>46692.0</v>
      </c>
      <c r="F16" s="28" t="s">
        <v>74</v>
      </c>
    </row>
    <row r="17">
      <c r="B17" s="19" t="s">
        <v>75</v>
      </c>
      <c r="C17" s="30">
        <f>TODAY()</f>
        <v>46321</v>
      </c>
    </row>
    <row r="19" ht="18.0" customHeight="1">
      <c r="B19" s="17" t="s">
        <v>80</v>
      </c>
      <c r="C19" s="18"/>
      <c r="D19" s="18"/>
      <c r="E19" s="18"/>
      <c r="F19" s="18"/>
    </row>
    <row r="20" ht="30.0" customHeight="1">
      <c r="B20" s="21" t="s">
        <v>50</v>
      </c>
      <c r="C20" s="21" t="s">
        <v>58</v>
      </c>
      <c r="D20" s="21" t="s">
        <v>59</v>
      </c>
      <c r="E20" s="21" t="s">
        <v>62</v>
      </c>
    </row>
    <row r="21" ht="15.75" customHeight="1">
      <c r="B21" s="23" t="s">
        <v>87</v>
      </c>
      <c r="C21" s="27">
        <v>6500.0</v>
      </c>
      <c r="D21" s="25" t="s">
        <v>78</v>
      </c>
      <c r="E21" s="23"/>
    </row>
    <row r="22" ht="15.75" customHeight="1">
      <c r="B22" s="23" t="s">
        <v>92</v>
      </c>
      <c r="C22" s="27">
        <v>6500.0</v>
      </c>
      <c r="D22" s="25" t="s">
        <v>78</v>
      </c>
      <c r="E22" s="23"/>
    </row>
    <row r="23" ht="15.75" customHeight="1">
      <c r="B23" s="23" t="s">
        <v>94</v>
      </c>
      <c r="C23" s="27">
        <v>7000.0</v>
      </c>
      <c r="D23" s="25" t="s">
        <v>78</v>
      </c>
      <c r="E23" s="23"/>
    </row>
    <row r="24" ht="15.75" customHeight="1">
      <c r="B24" s="23" t="s">
        <v>99</v>
      </c>
      <c r="C24" s="27">
        <v>7000.0</v>
      </c>
      <c r="D24" s="25" t="s">
        <v>78</v>
      </c>
      <c r="E24" s="23"/>
    </row>
    <row r="25" ht="15.75" customHeight="1">
      <c r="B25" s="23" t="s">
        <v>101</v>
      </c>
      <c r="C25" s="27">
        <v>6000.0</v>
      </c>
      <c r="D25" s="25" t="s">
        <v>78</v>
      </c>
      <c r="E25" s="23"/>
    </row>
    <row r="26" ht="15.75" customHeight="1">
      <c r="B26" s="23"/>
      <c r="C26" s="27"/>
      <c r="D26" s="25"/>
      <c r="E26" s="23"/>
    </row>
    <row r="27" ht="15.75" customHeight="1">
      <c r="B27" s="23"/>
      <c r="C27" s="27"/>
      <c r="D27" s="25"/>
      <c r="E27" s="23"/>
    </row>
    <row r="28" ht="15.75" customHeight="1">
      <c r="B28" s="23"/>
      <c r="C28" s="27"/>
      <c r="D28" s="25"/>
      <c r="E28" s="23"/>
    </row>
    <row r="29" ht="15.75" customHeight="1">
      <c r="B29" s="23"/>
      <c r="C29" s="27"/>
      <c r="D29" s="25"/>
      <c r="E29" s="23"/>
    </row>
    <row r="30" ht="15.75" customHeight="1">
      <c r="B30" s="23"/>
      <c r="C30" s="27"/>
      <c r="D30" s="25"/>
      <c r="E30" s="23"/>
    </row>
    <row r="31" ht="15.75" customHeight="1">
      <c r="B31" s="33" t="s">
        <v>104</v>
      </c>
      <c r="C31" s="35">
        <f>SUMIF(D21:D30,"Yes",C21:C30)</f>
        <v>33000</v>
      </c>
    </row>
    <row r="32" ht="15.75" customHeight="1">
      <c r="B32" s="19" t="s">
        <v>109</v>
      </c>
      <c r="C32" s="34">
        <f>COUNTIF(D21:D30,"Yes")</f>
        <v>5</v>
      </c>
    </row>
    <row r="33" ht="15.75" customHeight="1"/>
    <row r="34" ht="18.0" customHeight="1">
      <c r="B34" s="17" t="s">
        <v>111</v>
      </c>
      <c r="C34" s="18"/>
      <c r="D34" s="18"/>
      <c r="E34" s="18"/>
      <c r="F34" s="18"/>
    </row>
    <row r="35" ht="30.0" customHeight="1">
      <c r="B35" s="21" t="s">
        <v>113</v>
      </c>
      <c r="C35" s="21" t="s">
        <v>114</v>
      </c>
      <c r="D35" s="21" t="s">
        <v>115</v>
      </c>
      <c r="E35" s="21" t="s">
        <v>116</v>
      </c>
    </row>
    <row r="36" ht="15.75" customHeight="1">
      <c r="B36" s="23" t="s">
        <v>117</v>
      </c>
      <c r="C36" s="27">
        <v>6000.0</v>
      </c>
      <c r="D36" s="37">
        <v>0.0</v>
      </c>
      <c r="E36" s="23" t="s">
        <v>119</v>
      </c>
    </row>
    <row r="37" ht="15.75" customHeight="1">
      <c r="B37" s="23" t="s">
        <v>120</v>
      </c>
      <c r="C37" s="27">
        <v>5000.0</v>
      </c>
      <c r="D37" s="37">
        <v>0.1</v>
      </c>
      <c r="E37" s="23" t="s">
        <v>121</v>
      </c>
    </row>
    <row r="38" ht="15.75" customHeight="1">
      <c r="B38" s="23" t="s">
        <v>122</v>
      </c>
      <c r="C38" s="27">
        <v>2000.0</v>
      </c>
      <c r="D38" s="37">
        <v>0.03</v>
      </c>
      <c r="E38" s="23" t="s">
        <v>123</v>
      </c>
    </row>
    <row r="39" ht="15.75" customHeight="1">
      <c r="B39" s="23" t="s">
        <v>125</v>
      </c>
      <c r="C39" s="27">
        <v>4000.0</v>
      </c>
      <c r="D39" s="37">
        <v>0.06</v>
      </c>
      <c r="E39" s="23" t="s">
        <v>126</v>
      </c>
    </row>
    <row r="40" ht="15.75" customHeight="1">
      <c r="B40" s="23" t="s">
        <v>127</v>
      </c>
      <c r="C40" s="27">
        <v>3500.0</v>
      </c>
      <c r="D40" s="37">
        <v>0.03</v>
      </c>
      <c r="E40" s="23" t="s">
        <v>128</v>
      </c>
    </row>
    <row r="41" ht="15.75" customHeight="1">
      <c r="B41" s="23" t="s">
        <v>130</v>
      </c>
      <c r="C41" s="27">
        <v>2500.0</v>
      </c>
      <c r="D41" s="37">
        <v>0.02</v>
      </c>
      <c r="E41" s="23" t="s">
        <v>131</v>
      </c>
    </row>
    <row r="42" ht="15.75" customHeight="1">
      <c r="B42" s="23" t="s">
        <v>132</v>
      </c>
      <c r="C42" s="27">
        <v>800.0</v>
      </c>
      <c r="D42" s="37">
        <v>0.0</v>
      </c>
      <c r="E42" s="23" t="s">
        <v>134</v>
      </c>
    </row>
    <row r="43" ht="15.75" customHeight="1">
      <c r="B43" s="23" t="s">
        <v>135</v>
      </c>
      <c r="C43" s="27">
        <v>1500.0</v>
      </c>
      <c r="D43" s="37">
        <v>0.03</v>
      </c>
      <c r="E43" s="23" t="s">
        <v>136</v>
      </c>
    </row>
    <row r="44" ht="15.75" customHeight="1">
      <c r="B44" s="23"/>
      <c r="C44" s="27"/>
      <c r="D44" s="37"/>
      <c r="E44" s="23"/>
    </row>
    <row r="45" ht="15.75" customHeight="1">
      <c r="B45" s="23"/>
      <c r="C45" s="27"/>
      <c r="D45" s="37"/>
      <c r="E45" s="23"/>
    </row>
    <row r="46" ht="15.75" customHeight="1">
      <c r="B46" s="33" t="s">
        <v>139</v>
      </c>
      <c r="C46" s="35">
        <f>SUM(C36:C45)</f>
        <v>25300</v>
      </c>
    </row>
    <row r="47" ht="15.75" customHeight="1"/>
    <row r="48" ht="27.75" customHeight="1">
      <c r="B48" s="28" t="s">
        <v>143</v>
      </c>
    </row>
    <row r="49" ht="15.75" customHeight="1"/>
    <row r="50" ht="15.75" customHeight="1">
      <c r="B50" s="22" t="s">
        <v>54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3:E3"/>
    <mergeCell ref="B48:F48"/>
  </mergeCells>
  <dataValidations>
    <dataValidation type="list" allowBlank="1" sqref="D21:D30">
      <formula1>"Yes,No"</formula1>
    </dataValidation>
  </dataValidations>
  <printOptions/>
  <pageMargins bottom="0.7" footer="0.0" header="0.0" left="0.6" right="0.6" top="0.7"/>
  <pageSetup fitToHeight="0" paperSize="9" orientation="portrait"/>
  <headerFooter>
    <oddFooter>&amp;L A Sure Valley Ventures founder resource · svv.ai · v1 · 2026&amp;R Page &amp;P of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2.0"/>
    <col customWidth="1" min="2" max="2" width="30.0"/>
    <col customWidth="1" min="3" max="3" width="18.0"/>
    <col customWidth="1" min="4" max="4" width="14.0"/>
    <col customWidth="1" min="5" max="5" width="16.0"/>
    <col customWidth="1" min="6" max="6" width="10.0"/>
    <col customWidth="1" min="7" max="7" width="36.0"/>
    <col customWidth="1" min="8" max="8" width="30.0"/>
    <col customWidth="1" min="9" max="26" width="8.71"/>
  </cols>
  <sheetData>
    <row r="1" ht="13.5" customHeight="1">
      <c r="A1" s="1" t="s">
        <v>25</v>
      </c>
    </row>
    <row r="2" ht="27.75" customHeight="1">
      <c r="A2" s="6" t="s">
        <v>27</v>
      </c>
    </row>
    <row r="3" ht="45.75" customHeight="1">
      <c r="A3" s="8" t="s">
        <v>29</v>
      </c>
    </row>
    <row r="5" ht="18.0" customHeight="1">
      <c r="B5" s="9" t="s">
        <v>30</v>
      </c>
      <c r="C5" s="10" t="s">
        <v>35</v>
      </c>
      <c r="D5" s="12" t="s">
        <v>36</v>
      </c>
      <c r="E5" s="10" t="s">
        <v>38</v>
      </c>
    </row>
    <row r="7" ht="18.0" customHeight="1">
      <c r="B7" s="15" t="s">
        <v>39</v>
      </c>
      <c r="C7" s="16"/>
      <c r="D7" s="16"/>
      <c r="E7" s="16"/>
      <c r="F7" s="16"/>
      <c r="G7" s="16"/>
      <c r="H7" s="16"/>
    </row>
    <row r="9" ht="30.0" customHeight="1">
      <c r="B9" s="21" t="s">
        <v>50</v>
      </c>
      <c r="C9" s="21" t="s">
        <v>56</v>
      </c>
      <c r="D9" s="21" t="s">
        <v>57</v>
      </c>
      <c r="E9" s="21" t="s">
        <v>58</v>
      </c>
      <c r="F9" s="21" t="s">
        <v>59</v>
      </c>
      <c r="G9" s="21" t="s">
        <v>61</v>
      </c>
      <c r="H9" s="21" t="s">
        <v>62</v>
      </c>
    </row>
    <row r="10">
      <c r="B10" s="23" t="s">
        <v>65</v>
      </c>
      <c r="C10" s="23" t="s">
        <v>76</v>
      </c>
      <c r="D10" s="26">
        <v>46388.0</v>
      </c>
      <c r="E10" s="27">
        <v>8000.0</v>
      </c>
      <c r="F10" s="25" t="s">
        <v>78</v>
      </c>
      <c r="G10" s="23" t="s">
        <v>79</v>
      </c>
      <c r="H10" s="23" t="s">
        <v>81</v>
      </c>
    </row>
    <row r="11">
      <c r="B11" s="23" t="s">
        <v>82</v>
      </c>
      <c r="C11" s="23" t="s">
        <v>83</v>
      </c>
      <c r="D11" s="26">
        <v>46419.0</v>
      </c>
      <c r="E11" s="27">
        <v>7500.0</v>
      </c>
      <c r="F11" s="25" t="s">
        <v>78</v>
      </c>
      <c r="G11" s="23" t="s">
        <v>85</v>
      </c>
      <c r="H11" s="23" t="s">
        <v>86</v>
      </c>
    </row>
    <row r="12">
      <c r="B12" s="23" t="s">
        <v>88</v>
      </c>
      <c r="C12" s="23" t="s">
        <v>76</v>
      </c>
      <c r="D12" s="26">
        <v>46478.0</v>
      </c>
      <c r="E12" s="27">
        <v>4500.0</v>
      </c>
      <c r="F12" s="25" t="s">
        <v>78</v>
      </c>
      <c r="G12" s="23" t="s">
        <v>89</v>
      </c>
      <c r="H12" s="23" t="s">
        <v>90</v>
      </c>
    </row>
    <row r="13">
      <c r="B13" s="23" t="s">
        <v>91</v>
      </c>
      <c r="C13" s="23" t="s">
        <v>93</v>
      </c>
      <c r="D13" s="26">
        <v>46569.0</v>
      </c>
      <c r="E13" s="27">
        <v>5500.0</v>
      </c>
      <c r="F13" s="25" t="s">
        <v>78</v>
      </c>
      <c r="G13" s="23" t="s">
        <v>82</v>
      </c>
      <c r="H13" s="23" t="s">
        <v>95</v>
      </c>
    </row>
    <row r="14">
      <c r="B14" s="23" t="s">
        <v>97</v>
      </c>
      <c r="C14" s="23" t="s">
        <v>98</v>
      </c>
      <c r="D14" s="26">
        <v>46631.0</v>
      </c>
      <c r="E14" s="27">
        <v>9000.0</v>
      </c>
      <c r="F14" s="25" t="s">
        <v>78</v>
      </c>
      <c r="G14" s="23" t="s">
        <v>100</v>
      </c>
      <c r="H14" s="23" t="s">
        <v>102</v>
      </c>
    </row>
    <row r="15">
      <c r="B15" s="23"/>
      <c r="C15" s="23"/>
      <c r="D15" s="26"/>
      <c r="E15" s="27"/>
      <c r="F15" s="25"/>
      <c r="G15" s="23"/>
      <c r="H15" s="23"/>
    </row>
    <row r="16">
      <c r="B16" s="23"/>
      <c r="C16" s="23"/>
      <c r="D16" s="26"/>
      <c r="E16" s="27"/>
      <c r="F16" s="25"/>
      <c r="G16" s="23"/>
      <c r="H16" s="23"/>
    </row>
    <row r="17">
      <c r="B17" s="23"/>
      <c r="C17" s="23"/>
      <c r="D17" s="26"/>
      <c r="E17" s="27"/>
      <c r="F17" s="25"/>
      <c r="G17" s="23"/>
      <c r="H17" s="23"/>
    </row>
    <row r="18">
      <c r="B18" s="23"/>
      <c r="C18" s="23"/>
      <c r="D18" s="26"/>
      <c r="E18" s="27"/>
      <c r="F18" s="25"/>
      <c r="G18" s="23"/>
      <c r="H18" s="23"/>
    </row>
    <row r="19">
      <c r="B19" s="23"/>
      <c r="C19" s="23"/>
      <c r="D19" s="26"/>
      <c r="E19" s="27"/>
      <c r="F19" s="25"/>
      <c r="G19" s="23"/>
      <c r="H19" s="23"/>
    </row>
    <row r="20">
      <c r="B20" s="23"/>
      <c r="C20" s="23"/>
      <c r="D20" s="26"/>
      <c r="E20" s="27"/>
      <c r="F20" s="25"/>
      <c r="G20" s="23"/>
      <c r="H20" s="23"/>
    </row>
    <row r="21" ht="15.75" customHeight="1">
      <c r="B21" s="23"/>
      <c r="C21" s="23"/>
      <c r="D21" s="26"/>
      <c r="E21" s="27"/>
      <c r="F21" s="25"/>
      <c r="G21" s="23"/>
      <c r="H21" s="23"/>
    </row>
    <row r="22" ht="15.75" customHeight="1">
      <c r="B22" s="33" t="s">
        <v>107</v>
      </c>
      <c r="E22" s="35">
        <f>SUMIF(F10:F21,"Yes",E10:E21)</f>
        <v>34500</v>
      </c>
    </row>
    <row r="23" ht="15.75" customHeight="1"/>
    <row r="24" ht="15.75" customHeight="1">
      <c r="B24" s="22" t="s">
        <v>54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dataValidations>
    <dataValidation type="list" allowBlank="1" sqref="C10:C21">
      <formula1>"Sales,Engineering,Delivery,Customer success,Product,Operations,Finance,Marketing"</formula1>
    </dataValidation>
    <dataValidation type="list" allowBlank="1" sqref="F10:F21">
      <formula1>"Yes,No"</formula1>
    </dataValidation>
  </dataValidations>
  <printOptions/>
  <pageMargins bottom="0.7" footer="0.0" header="0.0" left="0.6" right="0.6" top="0.7"/>
  <pageSetup fitToHeight="0" paperSize="9" orientation="landscape"/>
  <headerFooter>
    <oddFooter>&amp;L A Sure Valley Ventures founder resource · svv.ai · v1 · 2026&amp;R Page &amp;P of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4.43" defaultRowHeight="15.0"/>
  <cols>
    <col customWidth="1" min="1" max="1" width="2.0"/>
    <col customWidth="1" min="2" max="2" width="40.0"/>
    <col customWidth="1" min="3" max="32" width="11.43"/>
  </cols>
  <sheetData>
    <row r="1" ht="13.5" customHeight="1">
      <c r="A1" s="1" t="s">
        <v>138</v>
      </c>
    </row>
    <row r="2" ht="27.75" customHeight="1">
      <c r="A2" s="6" t="s">
        <v>140</v>
      </c>
    </row>
    <row r="3" ht="31.5" customHeight="1">
      <c r="A3" s="8" t="s">
        <v>141</v>
      </c>
    </row>
    <row r="5" ht="18.0" customHeight="1">
      <c r="B5" s="15" t="s">
        <v>39</v>
      </c>
      <c r="C5" s="16"/>
      <c r="D5" s="16"/>
      <c r="E5" s="16"/>
      <c r="F5" s="16"/>
      <c r="G5" s="16"/>
      <c r="H5" s="16"/>
      <c r="I5" s="16"/>
      <c r="J5" s="16"/>
      <c r="K5" s="16"/>
    </row>
    <row r="7">
      <c r="B7" s="39" t="s">
        <v>144</v>
      </c>
      <c r="C7" s="40">
        <v>1.0</v>
      </c>
      <c r="D7" s="40">
        <v>2.0</v>
      </c>
      <c r="E7" s="40">
        <v>3.0</v>
      </c>
      <c r="F7" s="40">
        <v>4.0</v>
      </c>
      <c r="G7" s="40">
        <v>5.0</v>
      </c>
      <c r="H7" s="40">
        <v>6.0</v>
      </c>
      <c r="I7" s="40">
        <v>7.0</v>
      </c>
      <c r="J7" s="40">
        <v>8.0</v>
      </c>
      <c r="K7" s="40">
        <v>9.0</v>
      </c>
      <c r="L7" s="40">
        <v>10.0</v>
      </c>
      <c r="M7" s="40">
        <v>11.0</v>
      </c>
      <c r="N7" s="40">
        <v>12.0</v>
      </c>
      <c r="O7" s="40">
        <v>13.0</v>
      </c>
      <c r="P7" s="40">
        <v>14.0</v>
      </c>
      <c r="Q7" s="40">
        <v>15.0</v>
      </c>
      <c r="R7" s="40">
        <v>16.0</v>
      </c>
      <c r="S7" s="40">
        <v>17.0</v>
      </c>
      <c r="T7" s="40">
        <v>18.0</v>
      </c>
      <c r="U7" s="40">
        <v>19.0</v>
      </c>
      <c r="V7" s="40">
        <v>20.0</v>
      </c>
      <c r="W7" s="40">
        <v>21.0</v>
      </c>
      <c r="X7" s="40">
        <v>22.0</v>
      </c>
      <c r="Y7" s="40">
        <v>23.0</v>
      </c>
      <c r="Z7" s="40">
        <v>24.0</v>
      </c>
      <c r="AA7" s="40">
        <v>25.0</v>
      </c>
      <c r="AB7" s="40">
        <v>26.0</v>
      </c>
      <c r="AC7" s="40">
        <v>27.0</v>
      </c>
      <c r="AD7" s="40">
        <v>28.0</v>
      </c>
      <c r="AE7" s="40">
        <v>29.0</v>
      </c>
      <c r="AF7" s="40">
        <v>30.0</v>
      </c>
    </row>
    <row r="8" ht="19.5" customHeight="1">
      <c r="B8" s="41" t="s">
        <v>149</v>
      </c>
      <c r="C8" s="42">
        <f>EDATE(Inputs!$C$12,C7-1)</f>
        <v>46327</v>
      </c>
      <c r="D8" s="42">
        <f>EDATE(Inputs!$C$12,D7-1)</f>
        <v>46357</v>
      </c>
      <c r="E8" s="42">
        <f>EDATE(Inputs!$C$12,E7-1)</f>
        <v>46388</v>
      </c>
      <c r="F8" s="42">
        <f>EDATE(Inputs!$C$12,F7-1)</f>
        <v>46419</v>
      </c>
      <c r="G8" s="42">
        <f>EDATE(Inputs!$C$12,G7-1)</f>
        <v>46447</v>
      </c>
      <c r="H8" s="42">
        <f>EDATE(Inputs!$C$12,H7-1)</f>
        <v>46478</v>
      </c>
      <c r="I8" s="42">
        <f>EDATE(Inputs!$C$12,I7-1)</f>
        <v>46508</v>
      </c>
      <c r="J8" s="42">
        <f>EDATE(Inputs!$C$12,J7-1)</f>
        <v>46539</v>
      </c>
      <c r="K8" s="42">
        <f>EDATE(Inputs!$C$12,K7-1)</f>
        <v>46569</v>
      </c>
      <c r="L8" s="42">
        <f>EDATE(Inputs!$C$12,L7-1)</f>
        <v>46600</v>
      </c>
      <c r="M8" s="42">
        <f>EDATE(Inputs!$C$12,M7-1)</f>
        <v>46631</v>
      </c>
      <c r="N8" s="42">
        <f>EDATE(Inputs!$C$12,N7-1)</f>
        <v>46661</v>
      </c>
      <c r="O8" s="42">
        <f>EDATE(Inputs!$C$12,O7-1)</f>
        <v>46692</v>
      </c>
      <c r="P8" s="42">
        <f>EDATE(Inputs!$C$12,P7-1)</f>
        <v>46722</v>
      </c>
      <c r="Q8" s="42">
        <f>EDATE(Inputs!$C$12,Q7-1)</f>
        <v>46753</v>
      </c>
      <c r="R8" s="42">
        <f>EDATE(Inputs!$C$12,R7-1)</f>
        <v>46784</v>
      </c>
      <c r="S8" s="42">
        <f>EDATE(Inputs!$C$12,S7-1)</f>
        <v>46813</v>
      </c>
      <c r="T8" s="42">
        <f>EDATE(Inputs!$C$12,T7-1)</f>
        <v>46844</v>
      </c>
      <c r="U8" s="42">
        <f>EDATE(Inputs!$C$12,U7-1)</f>
        <v>46874</v>
      </c>
      <c r="V8" s="42">
        <f>EDATE(Inputs!$C$12,V7-1)</f>
        <v>46905</v>
      </c>
      <c r="W8" s="42">
        <f>EDATE(Inputs!$C$12,W7-1)</f>
        <v>46935</v>
      </c>
      <c r="X8" s="42">
        <f>EDATE(Inputs!$C$12,X7-1)</f>
        <v>46966</v>
      </c>
      <c r="Y8" s="42">
        <f>EDATE(Inputs!$C$12,Y7-1)</f>
        <v>46997</v>
      </c>
      <c r="Z8" s="42">
        <f>EDATE(Inputs!$C$12,Z7-1)</f>
        <v>47027</v>
      </c>
      <c r="AA8" s="42">
        <f>EDATE(Inputs!$C$12,AA7-1)</f>
        <v>47058</v>
      </c>
      <c r="AB8" s="42">
        <f>EDATE(Inputs!$C$12,AB7-1)</f>
        <v>47088</v>
      </c>
      <c r="AC8" s="42">
        <f>EDATE(Inputs!$C$12,AC7-1)</f>
        <v>47119</v>
      </c>
      <c r="AD8" s="42">
        <f>EDATE(Inputs!$C$12,AD7-1)</f>
        <v>47150</v>
      </c>
      <c r="AE8" s="42">
        <f>EDATE(Inputs!$C$12,AE7-1)</f>
        <v>47178</v>
      </c>
      <c r="AF8" s="42">
        <f>EDATE(Inputs!$C$12,AF7-1)</f>
        <v>47209</v>
      </c>
    </row>
    <row r="9" ht="18.0" customHeight="1">
      <c r="B9" s="17" t="s">
        <v>150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>
      <c r="B10" s="19" t="s">
        <v>151</v>
      </c>
      <c r="C10" s="27">
        <v>12500.0</v>
      </c>
      <c r="D10" s="27">
        <v>12500.0</v>
      </c>
      <c r="E10" s="27">
        <v>17500.0</v>
      </c>
      <c r="F10" s="27">
        <v>20417.0</v>
      </c>
      <c r="G10" s="27">
        <v>24167.0</v>
      </c>
      <c r="H10" s="27">
        <v>28333.0</v>
      </c>
      <c r="I10" s="27">
        <v>30833.0</v>
      </c>
      <c r="J10" s="27">
        <v>33333.0</v>
      </c>
      <c r="K10" s="27">
        <v>37083.0</v>
      </c>
      <c r="L10" s="27">
        <v>40000.0</v>
      </c>
      <c r="M10" s="27">
        <v>45000.0</v>
      </c>
      <c r="N10" s="27">
        <v>50000.0</v>
      </c>
      <c r="O10" s="27">
        <v>50000.0</v>
      </c>
      <c r="P10" s="27">
        <v>51667.0</v>
      </c>
      <c r="Q10" s="27">
        <v>54167.0</v>
      </c>
      <c r="R10" s="27">
        <v>56667.0</v>
      </c>
      <c r="S10" s="27">
        <v>60000.0</v>
      </c>
      <c r="T10" s="27">
        <v>63333.0</v>
      </c>
      <c r="U10" s="27">
        <v>65833.0</v>
      </c>
      <c r="V10" s="27">
        <v>68333.0</v>
      </c>
      <c r="W10" s="27">
        <v>70833.0</v>
      </c>
      <c r="X10" s="27">
        <v>73333.0</v>
      </c>
      <c r="Y10" s="27">
        <v>75833.0</v>
      </c>
      <c r="Z10" s="27">
        <v>78333.0</v>
      </c>
      <c r="AA10" s="27">
        <v>80833.0</v>
      </c>
      <c r="AB10" s="27">
        <v>83333.0</v>
      </c>
      <c r="AC10" s="27">
        <v>85833.0</v>
      </c>
      <c r="AD10" s="27">
        <v>88333.0</v>
      </c>
      <c r="AE10" s="27">
        <v>90833.0</v>
      </c>
      <c r="AF10" s="27">
        <v>93333.0</v>
      </c>
    </row>
    <row r="11">
      <c r="B11" s="19" t="s">
        <v>152</v>
      </c>
      <c r="C11" s="27">
        <v>8000.0</v>
      </c>
      <c r="D11" s="27">
        <v>0.0</v>
      </c>
      <c r="E11" s="27">
        <v>0.0</v>
      </c>
      <c r="F11" s="27">
        <v>5000.0</v>
      </c>
      <c r="G11" s="27">
        <v>0.0</v>
      </c>
      <c r="H11" s="27">
        <v>0.0</v>
      </c>
      <c r="I11" s="27">
        <v>8000.0</v>
      </c>
      <c r="J11" s="27">
        <v>0.0</v>
      </c>
      <c r="K11" s="27">
        <v>0.0</v>
      </c>
      <c r="L11" s="27">
        <v>5000.0</v>
      </c>
      <c r="M11" s="27">
        <v>0.0</v>
      </c>
      <c r="N11" s="27">
        <v>8000.0</v>
      </c>
      <c r="O11" s="27">
        <v>0.0</v>
      </c>
      <c r="P11" s="27">
        <v>0.0</v>
      </c>
      <c r="Q11" s="27">
        <v>5000.0</v>
      </c>
      <c r="R11" s="27">
        <v>0.0</v>
      </c>
      <c r="S11" s="27">
        <v>8000.0</v>
      </c>
      <c r="T11" s="27">
        <v>0.0</v>
      </c>
      <c r="U11" s="27">
        <v>0.0</v>
      </c>
      <c r="V11" s="27">
        <v>0.0</v>
      </c>
      <c r="W11" s="27">
        <v>0.0</v>
      </c>
      <c r="X11" s="27">
        <v>0.0</v>
      </c>
      <c r="Y11" s="27">
        <v>0.0</v>
      </c>
      <c r="Z11" s="27">
        <v>0.0</v>
      </c>
      <c r="AA11" s="27">
        <v>0.0</v>
      </c>
      <c r="AB11" s="27">
        <v>0.0</v>
      </c>
      <c r="AC11" s="27">
        <v>0.0</v>
      </c>
      <c r="AD11" s="27">
        <v>0.0</v>
      </c>
      <c r="AE11" s="27">
        <v>0.0</v>
      </c>
      <c r="AF11" s="27">
        <v>0.0</v>
      </c>
    </row>
    <row r="12">
      <c r="B12" s="19" t="s">
        <v>153</v>
      </c>
      <c r="C12" s="27">
        <v>0.0</v>
      </c>
      <c r="D12" s="27">
        <v>0.0</v>
      </c>
      <c r="E12" s="27">
        <v>0.0</v>
      </c>
      <c r="F12" s="27">
        <v>0.0</v>
      </c>
      <c r="G12" s="27">
        <v>0.0</v>
      </c>
      <c r="H12" s="27">
        <v>0.0</v>
      </c>
      <c r="I12" s="27">
        <v>0.0</v>
      </c>
      <c r="J12" s="27">
        <v>0.0</v>
      </c>
      <c r="K12" s="27">
        <v>0.0</v>
      </c>
      <c r="L12" s="27">
        <v>0.0</v>
      </c>
      <c r="M12" s="27">
        <v>0.0</v>
      </c>
      <c r="N12" s="27">
        <v>0.0</v>
      </c>
      <c r="O12" s="27">
        <v>0.0</v>
      </c>
      <c r="P12" s="27">
        <v>0.0</v>
      </c>
      <c r="Q12" s="27">
        <v>0.0</v>
      </c>
      <c r="R12" s="27">
        <v>0.0</v>
      </c>
      <c r="S12" s="27">
        <v>0.0</v>
      </c>
      <c r="T12" s="27">
        <v>0.0</v>
      </c>
      <c r="U12" s="27">
        <v>0.0</v>
      </c>
      <c r="V12" s="27">
        <v>0.0</v>
      </c>
      <c r="W12" s="27">
        <v>0.0</v>
      </c>
      <c r="X12" s="27">
        <v>0.0</v>
      </c>
      <c r="Y12" s="27">
        <v>0.0</v>
      </c>
      <c r="Z12" s="27">
        <v>0.0</v>
      </c>
      <c r="AA12" s="27">
        <v>0.0</v>
      </c>
      <c r="AB12" s="27">
        <v>0.0</v>
      </c>
      <c r="AC12" s="27">
        <v>0.0</v>
      </c>
      <c r="AD12" s="27">
        <v>0.0</v>
      </c>
      <c r="AE12" s="27">
        <v>0.0</v>
      </c>
      <c r="AF12" s="27">
        <v>0.0</v>
      </c>
    </row>
    <row r="13">
      <c r="B13" s="33" t="s">
        <v>154</v>
      </c>
      <c r="C13" s="35">
        <f t="shared" ref="C13:AF13" si="1">SUM(C10:C12)</f>
        <v>20500</v>
      </c>
      <c r="D13" s="35">
        <f t="shared" si="1"/>
        <v>12500</v>
      </c>
      <c r="E13" s="35">
        <f t="shared" si="1"/>
        <v>17500</v>
      </c>
      <c r="F13" s="35">
        <f t="shared" si="1"/>
        <v>25417</v>
      </c>
      <c r="G13" s="35">
        <f t="shared" si="1"/>
        <v>24167</v>
      </c>
      <c r="H13" s="35">
        <f t="shared" si="1"/>
        <v>28333</v>
      </c>
      <c r="I13" s="35">
        <f t="shared" si="1"/>
        <v>38833</v>
      </c>
      <c r="J13" s="35">
        <f t="shared" si="1"/>
        <v>33333</v>
      </c>
      <c r="K13" s="35">
        <f t="shared" si="1"/>
        <v>37083</v>
      </c>
      <c r="L13" s="35">
        <f t="shared" si="1"/>
        <v>45000</v>
      </c>
      <c r="M13" s="35">
        <f t="shared" si="1"/>
        <v>45000</v>
      </c>
      <c r="N13" s="35">
        <f t="shared" si="1"/>
        <v>58000</v>
      </c>
      <c r="O13" s="35">
        <f t="shared" si="1"/>
        <v>50000</v>
      </c>
      <c r="P13" s="35">
        <f t="shared" si="1"/>
        <v>51667</v>
      </c>
      <c r="Q13" s="35">
        <f t="shared" si="1"/>
        <v>59167</v>
      </c>
      <c r="R13" s="35">
        <f t="shared" si="1"/>
        <v>56667</v>
      </c>
      <c r="S13" s="35">
        <f t="shared" si="1"/>
        <v>68000</v>
      </c>
      <c r="T13" s="35">
        <f t="shared" si="1"/>
        <v>63333</v>
      </c>
      <c r="U13" s="35">
        <f t="shared" si="1"/>
        <v>65833</v>
      </c>
      <c r="V13" s="35">
        <f t="shared" si="1"/>
        <v>68333</v>
      </c>
      <c r="W13" s="35">
        <f t="shared" si="1"/>
        <v>70833</v>
      </c>
      <c r="X13" s="35">
        <f t="shared" si="1"/>
        <v>73333</v>
      </c>
      <c r="Y13" s="35">
        <f t="shared" si="1"/>
        <v>75833</v>
      </c>
      <c r="Z13" s="35">
        <f t="shared" si="1"/>
        <v>78333</v>
      </c>
      <c r="AA13" s="35">
        <f t="shared" si="1"/>
        <v>80833</v>
      </c>
      <c r="AB13" s="35">
        <f t="shared" si="1"/>
        <v>83333</v>
      </c>
      <c r="AC13" s="35">
        <f t="shared" si="1"/>
        <v>85833</v>
      </c>
      <c r="AD13" s="35">
        <f t="shared" si="1"/>
        <v>88333</v>
      </c>
      <c r="AE13" s="35">
        <f t="shared" si="1"/>
        <v>90833</v>
      </c>
      <c r="AF13" s="35">
        <f t="shared" si="1"/>
        <v>93333</v>
      </c>
    </row>
    <row r="15" ht="18.0" customHeight="1">
      <c r="B15" s="17" t="s">
        <v>155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>
      <c r="B16" s="19" t="s">
        <v>156</v>
      </c>
      <c r="C16" s="36">
        <f>Inputs!$C$31</f>
        <v>33000</v>
      </c>
      <c r="D16" s="36">
        <f>Inputs!$C$31</f>
        <v>33000</v>
      </c>
      <c r="E16" s="36">
        <f>Inputs!$C$31</f>
        <v>33000</v>
      </c>
      <c r="F16" s="36">
        <f>Inputs!$C$31</f>
        <v>33000</v>
      </c>
      <c r="G16" s="36">
        <f>Inputs!$C$31</f>
        <v>33000</v>
      </c>
      <c r="H16" s="36">
        <f>Inputs!$C$31</f>
        <v>33000</v>
      </c>
      <c r="I16" s="36">
        <f>Inputs!$C$31</f>
        <v>33000</v>
      </c>
      <c r="J16" s="36">
        <f>Inputs!$C$31</f>
        <v>33000</v>
      </c>
      <c r="K16" s="36">
        <f>Inputs!$C$31</f>
        <v>33000</v>
      </c>
      <c r="L16" s="36">
        <f>Inputs!$C$31</f>
        <v>33000</v>
      </c>
      <c r="M16" s="36">
        <f>Inputs!$C$31</f>
        <v>33000</v>
      </c>
      <c r="N16" s="36">
        <f>Inputs!$C$31</f>
        <v>33000</v>
      </c>
      <c r="O16" s="36">
        <f>Inputs!$C$31</f>
        <v>33000</v>
      </c>
      <c r="P16" s="36">
        <f>Inputs!$C$31</f>
        <v>33000</v>
      </c>
      <c r="Q16" s="36">
        <f>Inputs!$C$31</f>
        <v>33000</v>
      </c>
      <c r="R16" s="36">
        <f>Inputs!$C$31</f>
        <v>33000</v>
      </c>
      <c r="S16" s="36">
        <f>Inputs!$C$31</f>
        <v>33000</v>
      </c>
      <c r="T16" s="36">
        <f>Inputs!$C$31</f>
        <v>33000</v>
      </c>
      <c r="U16" s="36">
        <f>Inputs!$C$31</f>
        <v>33000</v>
      </c>
      <c r="V16" s="36">
        <f>Inputs!$C$31</f>
        <v>33000</v>
      </c>
      <c r="W16" s="36">
        <f>Inputs!$C$31</f>
        <v>33000</v>
      </c>
      <c r="X16" s="36">
        <f>Inputs!$C$31</f>
        <v>33000</v>
      </c>
      <c r="Y16" s="36">
        <f>Inputs!$C$31</f>
        <v>33000</v>
      </c>
      <c r="Z16" s="36">
        <f>Inputs!$C$31</f>
        <v>33000</v>
      </c>
      <c r="AA16" s="36">
        <f>Inputs!$C$31</f>
        <v>33000</v>
      </c>
      <c r="AB16" s="36">
        <f>Inputs!$C$31</f>
        <v>33000</v>
      </c>
      <c r="AC16" s="36">
        <f>Inputs!$C$31</f>
        <v>33000</v>
      </c>
      <c r="AD16" s="36">
        <f>Inputs!$C$31</f>
        <v>33000</v>
      </c>
      <c r="AE16" s="36">
        <f>Inputs!$C$31</f>
        <v>33000</v>
      </c>
      <c r="AF16" s="36">
        <f>Inputs!$C$31</f>
        <v>33000</v>
      </c>
    </row>
    <row r="17">
      <c r="B17" s="19" t="s">
        <v>157</v>
      </c>
      <c r="C17" s="36">
        <f>SUMPRODUCT((Hires!$D$10:$D$21&gt;0)*(Hires!$D$10:$D$21&lt;=C$8)*(Hires!$F$10:$F$21="Yes")*Hires!$E$10:$E$21)</f>
        <v>0</v>
      </c>
      <c r="D17" s="36">
        <f>SUMPRODUCT((Hires!$D$10:$D$21&gt;0)*(Hires!$D$10:$D$21&lt;=D$8)*(Hires!$F$10:$F$21="Yes")*Hires!$E$10:$E$21)</f>
        <v>0</v>
      </c>
      <c r="E17" s="36">
        <f>SUMPRODUCT((Hires!$D$10:$D$21&gt;0)*(Hires!$D$10:$D$21&lt;=E$8)*(Hires!$F$10:$F$21="Yes")*Hires!$E$10:$E$21)</f>
        <v>8000</v>
      </c>
      <c r="F17" s="36">
        <f>SUMPRODUCT((Hires!$D$10:$D$21&gt;0)*(Hires!$D$10:$D$21&lt;=F$8)*(Hires!$F$10:$F$21="Yes")*Hires!$E$10:$E$21)</f>
        <v>15500</v>
      </c>
      <c r="G17" s="36">
        <f>SUMPRODUCT((Hires!$D$10:$D$21&gt;0)*(Hires!$D$10:$D$21&lt;=G$8)*(Hires!$F$10:$F$21="Yes")*Hires!$E$10:$E$21)</f>
        <v>15500</v>
      </c>
      <c r="H17" s="36">
        <f>SUMPRODUCT((Hires!$D$10:$D$21&gt;0)*(Hires!$D$10:$D$21&lt;=H$8)*(Hires!$F$10:$F$21="Yes")*Hires!$E$10:$E$21)</f>
        <v>20000</v>
      </c>
      <c r="I17" s="36">
        <f>SUMPRODUCT((Hires!$D$10:$D$21&gt;0)*(Hires!$D$10:$D$21&lt;=I$8)*(Hires!$F$10:$F$21="Yes")*Hires!$E$10:$E$21)</f>
        <v>20000</v>
      </c>
      <c r="J17" s="36">
        <f>SUMPRODUCT((Hires!$D$10:$D$21&gt;0)*(Hires!$D$10:$D$21&lt;=J$8)*(Hires!$F$10:$F$21="Yes")*Hires!$E$10:$E$21)</f>
        <v>20000</v>
      </c>
      <c r="K17" s="36">
        <f>SUMPRODUCT((Hires!$D$10:$D$21&gt;0)*(Hires!$D$10:$D$21&lt;=K$8)*(Hires!$F$10:$F$21="Yes")*Hires!$E$10:$E$21)</f>
        <v>25500</v>
      </c>
      <c r="L17" s="36">
        <f>SUMPRODUCT((Hires!$D$10:$D$21&gt;0)*(Hires!$D$10:$D$21&lt;=L$8)*(Hires!$F$10:$F$21="Yes")*Hires!$E$10:$E$21)</f>
        <v>25500</v>
      </c>
      <c r="M17" s="36">
        <f>SUMPRODUCT((Hires!$D$10:$D$21&gt;0)*(Hires!$D$10:$D$21&lt;=M$8)*(Hires!$F$10:$F$21="Yes")*Hires!$E$10:$E$21)</f>
        <v>34500</v>
      </c>
      <c r="N17" s="36">
        <f>SUMPRODUCT((Hires!$D$10:$D$21&gt;0)*(Hires!$D$10:$D$21&lt;=N$8)*(Hires!$F$10:$F$21="Yes")*Hires!$E$10:$E$21)</f>
        <v>34500</v>
      </c>
      <c r="O17" s="36">
        <f>SUMPRODUCT((Hires!$D$10:$D$21&gt;0)*(Hires!$D$10:$D$21&lt;=O$8)*(Hires!$F$10:$F$21="Yes")*Hires!$E$10:$E$21)</f>
        <v>34500</v>
      </c>
      <c r="P17" s="36">
        <f>SUMPRODUCT((Hires!$D$10:$D$21&gt;0)*(Hires!$D$10:$D$21&lt;=P$8)*(Hires!$F$10:$F$21="Yes")*Hires!$E$10:$E$21)</f>
        <v>34500</v>
      </c>
      <c r="Q17" s="36">
        <f>SUMPRODUCT((Hires!$D$10:$D$21&gt;0)*(Hires!$D$10:$D$21&lt;=Q$8)*(Hires!$F$10:$F$21="Yes")*Hires!$E$10:$E$21)</f>
        <v>34500</v>
      </c>
      <c r="R17" s="36">
        <f>SUMPRODUCT((Hires!$D$10:$D$21&gt;0)*(Hires!$D$10:$D$21&lt;=R$8)*(Hires!$F$10:$F$21="Yes")*Hires!$E$10:$E$21)</f>
        <v>34500</v>
      </c>
      <c r="S17" s="36">
        <f>SUMPRODUCT((Hires!$D$10:$D$21&gt;0)*(Hires!$D$10:$D$21&lt;=S$8)*(Hires!$F$10:$F$21="Yes")*Hires!$E$10:$E$21)</f>
        <v>34500</v>
      </c>
      <c r="T17" s="36">
        <f>SUMPRODUCT((Hires!$D$10:$D$21&gt;0)*(Hires!$D$10:$D$21&lt;=T$8)*(Hires!$F$10:$F$21="Yes")*Hires!$E$10:$E$21)</f>
        <v>34500</v>
      </c>
      <c r="U17" s="36">
        <f>SUMPRODUCT((Hires!$D$10:$D$21&gt;0)*(Hires!$D$10:$D$21&lt;=U$8)*(Hires!$F$10:$F$21="Yes")*Hires!$E$10:$E$21)</f>
        <v>34500</v>
      </c>
      <c r="V17" s="36">
        <f>SUMPRODUCT((Hires!$D$10:$D$21&gt;0)*(Hires!$D$10:$D$21&lt;=V$8)*(Hires!$F$10:$F$21="Yes")*Hires!$E$10:$E$21)</f>
        <v>34500</v>
      </c>
      <c r="W17" s="36">
        <f>SUMPRODUCT((Hires!$D$10:$D$21&gt;0)*(Hires!$D$10:$D$21&lt;=W$8)*(Hires!$F$10:$F$21="Yes")*Hires!$E$10:$E$21)</f>
        <v>34500</v>
      </c>
      <c r="X17" s="36">
        <f>SUMPRODUCT((Hires!$D$10:$D$21&gt;0)*(Hires!$D$10:$D$21&lt;=X$8)*(Hires!$F$10:$F$21="Yes")*Hires!$E$10:$E$21)</f>
        <v>34500</v>
      </c>
      <c r="Y17" s="36">
        <f>SUMPRODUCT((Hires!$D$10:$D$21&gt;0)*(Hires!$D$10:$D$21&lt;=Y$8)*(Hires!$F$10:$F$21="Yes")*Hires!$E$10:$E$21)</f>
        <v>34500</v>
      </c>
      <c r="Z17" s="36">
        <f>SUMPRODUCT((Hires!$D$10:$D$21&gt;0)*(Hires!$D$10:$D$21&lt;=Z$8)*(Hires!$F$10:$F$21="Yes")*Hires!$E$10:$E$21)</f>
        <v>34500</v>
      </c>
      <c r="AA17" s="36">
        <f>SUMPRODUCT((Hires!$D$10:$D$21&gt;0)*(Hires!$D$10:$D$21&lt;=AA$8)*(Hires!$F$10:$F$21="Yes")*Hires!$E$10:$E$21)</f>
        <v>34500</v>
      </c>
      <c r="AB17" s="36">
        <f>SUMPRODUCT((Hires!$D$10:$D$21&gt;0)*(Hires!$D$10:$D$21&lt;=AB$8)*(Hires!$F$10:$F$21="Yes")*Hires!$E$10:$E$21)</f>
        <v>34500</v>
      </c>
      <c r="AC17" s="36">
        <f>SUMPRODUCT((Hires!$D$10:$D$21&gt;0)*(Hires!$D$10:$D$21&lt;=AC$8)*(Hires!$F$10:$F$21="Yes")*Hires!$E$10:$E$21)</f>
        <v>34500</v>
      </c>
      <c r="AD17" s="36">
        <f>SUMPRODUCT((Hires!$D$10:$D$21&gt;0)*(Hires!$D$10:$D$21&lt;=AD$8)*(Hires!$F$10:$F$21="Yes")*Hires!$E$10:$E$21)</f>
        <v>34500</v>
      </c>
      <c r="AE17" s="36">
        <f>SUMPRODUCT((Hires!$D$10:$D$21&gt;0)*(Hires!$D$10:$D$21&lt;=AE$8)*(Hires!$F$10:$F$21="Yes")*Hires!$E$10:$E$21)</f>
        <v>34500</v>
      </c>
      <c r="AF17" s="36">
        <f>SUMPRODUCT((Hires!$D$10:$D$21&gt;0)*(Hires!$D$10:$D$21&lt;=AF$8)*(Hires!$F$10:$F$21="Yes")*Hires!$E$10:$E$21)</f>
        <v>34500</v>
      </c>
    </row>
    <row r="18">
      <c r="B18" s="43" t="str">
        <f>IF(Inputs!B36="","–",Inputs!B36)</f>
        <v>Contractors and freelancers</v>
      </c>
      <c r="C18" s="36">
        <f>IF(Inputs!$C$36="",0,Inputs!$C$36*(1+Inputs!$D$36)^(C$7-1))</f>
        <v>6000</v>
      </c>
      <c r="D18" s="36">
        <f>IF(Inputs!$C$36="",0,Inputs!$C$36*(1+Inputs!$D$36)^(D$7-1))</f>
        <v>6000</v>
      </c>
      <c r="E18" s="36">
        <f>IF(Inputs!$C$36="",0,Inputs!$C$36*(1+Inputs!$D$36)^(E$7-1))</f>
        <v>6000</v>
      </c>
      <c r="F18" s="36">
        <f>IF(Inputs!$C$36="",0,Inputs!$C$36*(1+Inputs!$D$36)^(F$7-1))</f>
        <v>6000</v>
      </c>
      <c r="G18" s="36">
        <f>IF(Inputs!$C$36="",0,Inputs!$C$36*(1+Inputs!$D$36)^(G$7-1))</f>
        <v>6000</v>
      </c>
      <c r="H18" s="36">
        <f>IF(Inputs!$C$36="",0,Inputs!$C$36*(1+Inputs!$D$36)^(H$7-1))</f>
        <v>6000</v>
      </c>
      <c r="I18" s="36">
        <f>IF(Inputs!$C$36="",0,Inputs!$C$36*(1+Inputs!$D$36)^(I$7-1))</f>
        <v>6000</v>
      </c>
      <c r="J18" s="36">
        <f>IF(Inputs!$C$36="",0,Inputs!$C$36*(1+Inputs!$D$36)^(J$7-1))</f>
        <v>6000</v>
      </c>
      <c r="K18" s="36">
        <f>IF(Inputs!$C$36="",0,Inputs!$C$36*(1+Inputs!$D$36)^(K$7-1))</f>
        <v>6000</v>
      </c>
      <c r="L18" s="36">
        <f>IF(Inputs!$C$36="",0,Inputs!$C$36*(1+Inputs!$D$36)^(L$7-1))</f>
        <v>6000</v>
      </c>
      <c r="M18" s="36">
        <f>IF(Inputs!$C$36="",0,Inputs!$C$36*(1+Inputs!$D$36)^(M$7-1))</f>
        <v>6000</v>
      </c>
      <c r="N18" s="36">
        <f>IF(Inputs!$C$36="",0,Inputs!$C$36*(1+Inputs!$D$36)^(N$7-1))</f>
        <v>6000</v>
      </c>
      <c r="O18" s="36">
        <f>IF(Inputs!$C$36="",0,Inputs!$C$36*(1+Inputs!$D$36)^(O$7-1))</f>
        <v>6000</v>
      </c>
      <c r="P18" s="36">
        <f>IF(Inputs!$C$36="",0,Inputs!$C$36*(1+Inputs!$D$36)^(P$7-1))</f>
        <v>6000</v>
      </c>
      <c r="Q18" s="36">
        <f>IF(Inputs!$C$36="",0,Inputs!$C$36*(1+Inputs!$D$36)^(Q$7-1))</f>
        <v>6000</v>
      </c>
      <c r="R18" s="36">
        <f>IF(Inputs!$C$36="",0,Inputs!$C$36*(1+Inputs!$D$36)^(R$7-1))</f>
        <v>6000</v>
      </c>
      <c r="S18" s="36">
        <f>IF(Inputs!$C$36="",0,Inputs!$C$36*(1+Inputs!$D$36)^(S$7-1))</f>
        <v>6000</v>
      </c>
      <c r="T18" s="36">
        <f>IF(Inputs!$C$36="",0,Inputs!$C$36*(1+Inputs!$D$36)^(T$7-1))</f>
        <v>6000</v>
      </c>
      <c r="U18" s="36">
        <f>IF(Inputs!$C$36="",0,Inputs!$C$36*(1+Inputs!$D$36)^(U$7-1))</f>
        <v>6000</v>
      </c>
      <c r="V18" s="36">
        <f>IF(Inputs!$C$36="",0,Inputs!$C$36*(1+Inputs!$D$36)^(V$7-1))</f>
        <v>6000</v>
      </c>
      <c r="W18" s="36">
        <f>IF(Inputs!$C$36="",0,Inputs!$C$36*(1+Inputs!$D$36)^(W$7-1))</f>
        <v>6000</v>
      </c>
      <c r="X18" s="36">
        <f>IF(Inputs!$C$36="",0,Inputs!$C$36*(1+Inputs!$D$36)^(X$7-1))</f>
        <v>6000</v>
      </c>
      <c r="Y18" s="36">
        <f>IF(Inputs!$C$36="",0,Inputs!$C$36*(1+Inputs!$D$36)^(Y$7-1))</f>
        <v>6000</v>
      </c>
      <c r="Z18" s="36">
        <f>IF(Inputs!$C$36="",0,Inputs!$C$36*(1+Inputs!$D$36)^(Z$7-1))</f>
        <v>6000</v>
      </c>
      <c r="AA18" s="36">
        <f>IF(Inputs!$C$36="",0,Inputs!$C$36*(1+Inputs!$D$36)^(AA$7-1))</f>
        <v>6000</v>
      </c>
      <c r="AB18" s="36">
        <f>IF(Inputs!$C$36="",0,Inputs!$C$36*(1+Inputs!$D$36)^(AB$7-1))</f>
        <v>6000</v>
      </c>
      <c r="AC18" s="36">
        <f>IF(Inputs!$C$36="",0,Inputs!$C$36*(1+Inputs!$D$36)^(AC$7-1))</f>
        <v>6000</v>
      </c>
      <c r="AD18" s="36">
        <f>IF(Inputs!$C$36="",0,Inputs!$C$36*(1+Inputs!$D$36)^(AD$7-1))</f>
        <v>6000</v>
      </c>
      <c r="AE18" s="36">
        <f>IF(Inputs!$C$36="",0,Inputs!$C$36*(1+Inputs!$D$36)^(AE$7-1))</f>
        <v>6000</v>
      </c>
      <c r="AF18" s="36">
        <f>IF(Inputs!$C$36="",0,Inputs!$C$36*(1+Inputs!$D$36)^(AF$7-1))</f>
        <v>6000</v>
      </c>
    </row>
    <row r="19">
      <c r="B19" s="43" t="str">
        <f>IF(Inputs!B37="","–",Inputs!B37)</f>
        <v>Hosting and model inference</v>
      </c>
      <c r="C19" s="36">
        <f>IF(Inputs!$C$37="",0,Inputs!$C$37*(1+Inputs!$D$37)^(C$7-1))</f>
        <v>5000</v>
      </c>
      <c r="D19" s="36">
        <f>IF(Inputs!$C$37="",0,Inputs!$C$37*(1+Inputs!$D$37)^(D$7-1))</f>
        <v>5500</v>
      </c>
      <c r="E19" s="36">
        <f>IF(Inputs!$C$37="",0,Inputs!$C$37*(1+Inputs!$D$37)^(E$7-1))</f>
        <v>6050</v>
      </c>
      <c r="F19" s="36">
        <f>IF(Inputs!$C$37="",0,Inputs!$C$37*(1+Inputs!$D$37)^(F$7-1))</f>
        <v>6655</v>
      </c>
      <c r="G19" s="36">
        <f>IF(Inputs!$C$37="",0,Inputs!$C$37*(1+Inputs!$D$37)^(G$7-1))</f>
        <v>7320.5</v>
      </c>
      <c r="H19" s="36">
        <f>IF(Inputs!$C$37="",0,Inputs!$C$37*(1+Inputs!$D$37)^(H$7-1))</f>
        <v>8052.55</v>
      </c>
      <c r="I19" s="36">
        <f>IF(Inputs!$C$37="",0,Inputs!$C$37*(1+Inputs!$D$37)^(I$7-1))</f>
        <v>8857.805</v>
      </c>
      <c r="J19" s="36">
        <f>IF(Inputs!$C$37="",0,Inputs!$C$37*(1+Inputs!$D$37)^(J$7-1))</f>
        <v>9743.5855</v>
      </c>
      <c r="K19" s="36">
        <f>IF(Inputs!$C$37="",0,Inputs!$C$37*(1+Inputs!$D$37)^(K$7-1))</f>
        <v>10717.94405</v>
      </c>
      <c r="L19" s="36">
        <f>IF(Inputs!$C$37="",0,Inputs!$C$37*(1+Inputs!$D$37)^(L$7-1))</f>
        <v>11789.73846</v>
      </c>
      <c r="M19" s="36">
        <f>IF(Inputs!$C$37="",0,Inputs!$C$37*(1+Inputs!$D$37)^(M$7-1))</f>
        <v>12968.7123</v>
      </c>
      <c r="N19" s="36">
        <f>IF(Inputs!$C$37="",0,Inputs!$C$37*(1+Inputs!$D$37)^(N$7-1))</f>
        <v>14265.58353</v>
      </c>
      <c r="O19" s="36">
        <f>IF(Inputs!$C$37="",0,Inputs!$C$37*(1+Inputs!$D$37)^(O$7-1))</f>
        <v>15692.14188</v>
      </c>
      <c r="P19" s="36">
        <f>IF(Inputs!$C$37="",0,Inputs!$C$37*(1+Inputs!$D$37)^(P$7-1))</f>
        <v>17261.35607</v>
      </c>
      <c r="Q19" s="36">
        <f>IF(Inputs!$C$37="",0,Inputs!$C$37*(1+Inputs!$D$37)^(Q$7-1))</f>
        <v>18987.49168</v>
      </c>
      <c r="R19" s="36">
        <f>IF(Inputs!$C$37="",0,Inputs!$C$37*(1+Inputs!$D$37)^(R$7-1))</f>
        <v>20886.24085</v>
      </c>
      <c r="S19" s="36">
        <f>IF(Inputs!$C$37="",0,Inputs!$C$37*(1+Inputs!$D$37)^(S$7-1))</f>
        <v>22974.86493</v>
      </c>
      <c r="T19" s="36">
        <f>IF(Inputs!$C$37="",0,Inputs!$C$37*(1+Inputs!$D$37)^(T$7-1))</f>
        <v>25272.35142</v>
      </c>
      <c r="U19" s="36">
        <f>IF(Inputs!$C$37="",0,Inputs!$C$37*(1+Inputs!$D$37)^(U$7-1))</f>
        <v>27799.58657</v>
      </c>
      <c r="V19" s="36">
        <f>IF(Inputs!$C$37="",0,Inputs!$C$37*(1+Inputs!$D$37)^(V$7-1))</f>
        <v>30579.54522</v>
      </c>
      <c r="W19" s="36">
        <f>IF(Inputs!$C$37="",0,Inputs!$C$37*(1+Inputs!$D$37)^(W$7-1))</f>
        <v>33637.49975</v>
      </c>
      <c r="X19" s="36">
        <f>IF(Inputs!$C$37="",0,Inputs!$C$37*(1+Inputs!$D$37)^(X$7-1))</f>
        <v>37001.24972</v>
      </c>
      <c r="Y19" s="36">
        <f>IF(Inputs!$C$37="",0,Inputs!$C$37*(1+Inputs!$D$37)^(Y$7-1))</f>
        <v>40701.37469</v>
      </c>
      <c r="Z19" s="36">
        <f>IF(Inputs!$C$37="",0,Inputs!$C$37*(1+Inputs!$D$37)^(Z$7-1))</f>
        <v>44771.51216</v>
      </c>
      <c r="AA19" s="36">
        <f>IF(Inputs!$C$37="",0,Inputs!$C$37*(1+Inputs!$D$37)^(AA$7-1))</f>
        <v>49248.66338</v>
      </c>
      <c r="AB19" s="36">
        <f>IF(Inputs!$C$37="",0,Inputs!$C$37*(1+Inputs!$D$37)^(AB$7-1))</f>
        <v>54173.52972</v>
      </c>
      <c r="AC19" s="36">
        <f>IF(Inputs!$C$37="",0,Inputs!$C$37*(1+Inputs!$D$37)^(AC$7-1))</f>
        <v>59590.88269</v>
      </c>
      <c r="AD19" s="36">
        <f>IF(Inputs!$C$37="",0,Inputs!$C$37*(1+Inputs!$D$37)^(AD$7-1))</f>
        <v>65549.97096</v>
      </c>
      <c r="AE19" s="36">
        <f>IF(Inputs!$C$37="",0,Inputs!$C$37*(1+Inputs!$D$37)^(AE$7-1))</f>
        <v>72104.96805</v>
      </c>
      <c r="AF19" s="36">
        <f>IF(Inputs!$C$37="",0,Inputs!$C$37*(1+Inputs!$D$37)^(AF$7-1))</f>
        <v>79315.46486</v>
      </c>
    </row>
    <row r="20">
      <c r="B20" s="43" t="str">
        <f>IF(Inputs!B38="","–",Inputs!B38)</f>
        <v>Software and tools</v>
      </c>
      <c r="C20" s="36">
        <f>IF(Inputs!$C$38="",0,Inputs!$C$38*(1+Inputs!$D$38)^(C$7-1))</f>
        <v>2000</v>
      </c>
      <c r="D20" s="36">
        <f>IF(Inputs!$C$38="",0,Inputs!$C$38*(1+Inputs!$D$38)^(D$7-1))</f>
        <v>2060</v>
      </c>
      <c r="E20" s="36">
        <f>IF(Inputs!$C$38="",0,Inputs!$C$38*(1+Inputs!$D$38)^(E$7-1))</f>
        <v>2121.8</v>
      </c>
      <c r="F20" s="36">
        <f>IF(Inputs!$C$38="",0,Inputs!$C$38*(1+Inputs!$D$38)^(F$7-1))</f>
        <v>2185.454</v>
      </c>
      <c r="G20" s="36">
        <f>IF(Inputs!$C$38="",0,Inputs!$C$38*(1+Inputs!$D$38)^(G$7-1))</f>
        <v>2251.01762</v>
      </c>
      <c r="H20" s="36">
        <f>IF(Inputs!$C$38="",0,Inputs!$C$38*(1+Inputs!$D$38)^(H$7-1))</f>
        <v>2318.548149</v>
      </c>
      <c r="I20" s="36">
        <f>IF(Inputs!$C$38="",0,Inputs!$C$38*(1+Inputs!$D$38)^(I$7-1))</f>
        <v>2388.104593</v>
      </c>
      <c r="J20" s="36">
        <f>IF(Inputs!$C$38="",0,Inputs!$C$38*(1+Inputs!$D$38)^(J$7-1))</f>
        <v>2459.747731</v>
      </c>
      <c r="K20" s="36">
        <f>IF(Inputs!$C$38="",0,Inputs!$C$38*(1+Inputs!$D$38)^(K$7-1))</f>
        <v>2533.540163</v>
      </c>
      <c r="L20" s="36">
        <f>IF(Inputs!$C$38="",0,Inputs!$C$38*(1+Inputs!$D$38)^(L$7-1))</f>
        <v>2609.546368</v>
      </c>
      <c r="M20" s="36">
        <f>IF(Inputs!$C$38="",0,Inputs!$C$38*(1+Inputs!$D$38)^(M$7-1))</f>
        <v>2687.832759</v>
      </c>
      <c r="N20" s="36">
        <f>IF(Inputs!$C$38="",0,Inputs!$C$38*(1+Inputs!$D$38)^(N$7-1))</f>
        <v>2768.467741</v>
      </c>
      <c r="O20" s="36">
        <f>IF(Inputs!$C$38="",0,Inputs!$C$38*(1+Inputs!$D$38)^(O$7-1))</f>
        <v>2851.521774</v>
      </c>
      <c r="P20" s="36">
        <f>IF(Inputs!$C$38="",0,Inputs!$C$38*(1+Inputs!$D$38)^(P$7-1))</f>
        <v>2937.067427</v>
      </c>
      <c r="Q20" s="36">
        <f>IF(Inputs!$C$38="",0,Inputs!$C$38*(1+Inputs!$D$38)^(Q$7-1))</f>
        <v>3025.17945</v>
      </c>
      <c r="R20" s="36">
        <f>IF(Inputs!$C$38="",0,Inputs!$C$38*(1+Inputs!$D$38)^(R$7-1))</f>
        <v>3115.934833</v>
      </c>
      <c r="S20" s="36">
        <f>IF(Inputs!$C$38="",0,Inputs!$C$38*(1+Inputs!$D$38)^(S$7-1))</f>
        <v>3209.412878</v>
      </c>
      <c r="T20" s="36">
        <f>IF(Inputs!$C$38="",0,Inputs!$C$38*(1+Inputs!$D$38)^(T$7-1))</f>
        <v>3305.695265</v>
      </c>
      <c r="U20" s="36">
        <f>IF(Inputs!$C$38="",0,Inputs!$C$38*(1+Inputs!$D$38)^(U$7-1))</f>
        <v>3404.866122</v>
      </c>
      <c r="V20" s="36">
        <f>IF(Inputs!$C$38="",0,Inputs!$C$38*(1+Inputs!$D$38)^(V$7-1))</f>
        <v>3507.012106</v>
      </c>
      <c r="W20" s="36">
        <f>IF(Inputs!$C$38="",0,Inputs!$C$38*(1+Inputs!$D$38)^(W$7-1))</f>
        <v>3612.222469</v>
      </c>
      <c r="X20" s="36">
        <f>IF(Inputs!$C$38="",0,Inputs!$C$38*(1+Inputs!$D$38)^(X$7-1))</f>
        <v>3720.589143</v>
      </c>
      <c r="Y20" s="36">
        <f>IF(Inputs!$C$38="",0,Inputs!$C$38*(1+Inputs!$D$38)^(Y$7-1))</f>
        <v>3832.206818</v>
      </c>
      <c r="Z20" s="36">
        <f>IF(Inputs!$C$38="",0,Inputs!$C$38*(1+Inputs!$D$38)^(Z$7-1))</f>
        <v>3947.173022</v>
      </c>
      <c r="AA20" s="36">
        <f>IF(Inputs!$C$38="",0,Inputs!$C$38*(1+Inputs!$D$38)^(AA$7-1))</f>
        <v>4065.588213</v>
      </c>
      <c r="AB20" s="36">
        <f>IF(Inputs!$C$38="",0,Inputs!$C$38*(1+Inputs!$D$38)^(AB$7-1))</f>
        <v>4187.555859</v>
      </c>
      <c r="AC20" s="36">
        <f>IF(Inputs!$C$38="",0,Inputs!$C$38*(1+Inputs!$D$38)^(AC$7-1))</f>
        <v>4313.182535</v>
      </c>
      <c r="AD20" s="36">
        <f>IF(Inputs!$C$38="",0,Inputs!$C$38*(1+Inputs!$D$38)^(AD$7-1))</f>
        <v>4442.578011</v>
      </c>
      <c r="AE20" s="36">
        <f>IF(Inputs!$C$38="",0,Inputs!$C$38*(1+Inputs!$D$38)^(AE$7-1))</f>
        <v>4575.855351</v>
      </c>
      <c r="AF20" s="36">
        <f>IF(Inputs!$C$38="",0,Inputs!$C$38*(1+Inputs!$D$38)^(AF$7-1))</f>
        <v>4713.131012</v>
      </c>
    </row>
    <row r="21" ht="15.75" customHeight="1">
      <c r="B21" s="43" t="str">
        <f>IF(Inputs!B39="","–",Inputs!B39)</f>
        <v>Marketing and events</v>
      </c>
      <c r="C21" s="36">
        <f>IF(Inputs!$C$39="",0,Inputs!$C$39*(1+Inputs!$D$39)^(C$7-1))</f>
        <v>4000</v>
      </c>
      <c r="D21" s="36">
        <f>IF(Inputs!$C$39="",0,Inputs!$C$39*(1+Inputs!$D$39)^(D$7-1))</f>
        <v>4240</v>
      </c>
      <c r="E21" s="36">
        <f>IF(Inputs!$C$39="",0,Inputs!$C$39*(1+Inputs!$D$39)^(E$7-1))</f>
        <v>4494.4</v>
      </c>
      <c r="F21" s="36">
        <f>IF(Inputs!$C$39="",0,Inputs!$C$39*(1+Inputs!$D$39)^(F$7-1))</f>
        <v>4764.064</v>
      </c>
      <c r="G21" s="36">
        <f>IF(Inputs!$C$39="",0,Inputs!$C$39*(1+Inputs!$D$39)^(G$7-1))</f>
        <v>5049.90784</v>
      </c>
      <c r="H21" s="36">
        <f>IF(Inputs!$C$39="",0,Inputs!$C$39*(1+Inputs!$D$39)^(H$7-1))</f>
        <v>5352.90231</v>
      </c>
      <c r="I21" s="36">
        <f>IF(Inputs!$C$39="",0,Inputs!$C$39*(1+Inputs!$D$39)^(I$7-1))</f>
        <v>5674.076449</v>
      </c>
      <c r="J21" s="36">
        <f>IF(Inputs!$C$39="",0,Inputs!$C$39*(1+Inputs!$D$39)^(J$7-1))</f>
        <v>6014.521036</v>
      </c>
      <c r="K21" s="36">
        <f>IF(Inputs!$C$39="",0,Inputs!$C$39*(1+Inputs!$D$39)^(K$7-1))</f>
        <v>6375.392298</v>
      </c>
      <c r="L21" s="36">
        <f>IF(Inputs!$C$39="",0,Inputs!$C$39*(1+Inputs!$D$39)^(L$7-1))</f>
        <v>6757.915836</v>
      </c>
      <c r="M21" s="36">
        <f>IF(Inputs!$C$39="",0,Inputs!$C$39*(1+Inputs!$D$39)^(M$7-1))</f>
        <v>7163.390786</v>
      </c>
      <c r="N21" s="36">
        <f>IF(Inputs!$C$39="",0,Inputs!$C$39*(1+Inputs!$D$39)^(N$7-1))</f>
        <v>7593.194233</v>
      </c>
      <c r="O21" s="36">
        <f>IF(Inputs!$C$39="",0,Inputs!$C$39*(1+Inputs!$D$39)^(O$7-1))</f>
        <v>8048.785887</v>
      </c>
      <c r="P21" s="36">
        <f>IF(Inputs!$C$39="",0,Inputs!$C$39*(1+Inputs!$D$39)^(P$7-1))</f>
        <v>8531.713041</v>
      </c>
      <c r="Q21" s="36">
        <f>IF(Inputs!$C$39="",0,Inputs!$C$39*(1+Inputs!$D$39)^(Q$7-1))</f>
        <v>9043.615823</v>
      </c>
      <c r="R21" s="36">
        <f>IF(Inputs!$C$39="",0,Inputs!$C$39*(1+Inputs!$D$39)^(R$7-1))</f>
        <v>9586.232772</v>
      </c>
      <c r="S21" s="36">
        <f>IF(Inputs!$C$39="",0,Inputs!$C$39*(1+Inputs!$D$39)^(S$7-1))</f>
        <v>10161.40674</v>
      </c>
      <c r="T21" s="36">
        <f>IF(Inputs!$C$39="",0,Inputs!$C$39*(1+Inputs!$D$39)^(T$7-1))</f>
        <v>10771.09114</v>
      </c>
      <c r="U21" s="36">
        <f>IF(Inputs!$C$39="",0,Inputs!$C$39*(1+Inputs!$D$39)^(U$7-1))</f>
        <v>11417.35661</v>
      </c>
      <c r="V21" s="36">
        <f>IF(Inputs!$C$39="",0,Inputs!$C$39*(1+Inputs!$D$39)^(V$7-1))</f>
        <v>12102.39801</v>
      </c>
      <c r="W21" s="36">
        <f>IF(Inputs!$C$39="",0,Inputs!$C$39*(1+Inputs!$D$39)^(W$7-1))</f>
        <v>12828.54189</v>
      </c>
      <c r="X21" s="36">
        <f>IF(Inputs!$C$39="",0,Inputs!$C$39*(1+Inputs!$D$39)^(X$7-1))</f>
        <v>13598.2544</v>
      </c>
      <c r="Y21" s="36">
        <f>IF(Inputs!$C$39="",0,Inputs!$C$39*(1+Inputs!$D$39)^(Y$7-1))</f>
        <v>14414.14967</v>
      </c>
      <c r="Z21" s="36">
        <f>IF(Inputs!$C$39="",0,Inputs!$C$39*(1+Inputs!$D$39)^(Z$7-1))</f>
        <v>15278.99865</v>
      </c>
      <c r="AA21" s="36">
        <f>IF(Inputs!$C$39="",0,Inputs!$C$39*(1+Inputs!$D$39)^(AA$7-1))</f>
        <v>16195.73857</v>
      </c>
      <c r="AB21" s="36">
        <f>IF(Inputs!$C$39="",0,Inputs!$C$39*(1+Inputs!$D$39)^(AB$7-1))</f>
        <v>17167.48288</v>
      </c>
      <c r="AC21" s="36">
        <f>IF(Inputs!$C$39="",0,Inputs!$C$39*(1+Inputs!$D$39)^(AC$7-1))</f>
        <v>18197.53185</v>
      </c>
      <c r="AD21" s="36">
        <f>IF(Inputs!$C$39="",0,Inputs!$C$39*(1+Inputs!$D$39)^(AD$7-1))</f>
        <v>19289.38376</v>
      </c>
      <c r="AE21" s="36">
        <f>IF(Inputs!$C$39="",0,Inputs!$C$39*(1+Inputs!$D$39)^(AE$7-1))</f>
        <v>20446.74679</v>
      </c>
      <c r="AF21" s="36">
        <f>IF(Inputs!$C$39="",0,Inputs!$C$39*(1+Inputs!$D$39)^(AF$7-1))</f>
        <v>21673.5516</v>
      </c>
    </row>
    <row r="22" ht="15.75" customHeight="1">
      <c r="B22" s="43" t="str">
        <f>IF(Inputs!B40="","–",Inputs!B40)</f>
        <v>Office and travel</v>
      </c>
      <c r="C22" s="36">
        <f>IF(Inputs!$C$40="",0,Inputs!$C$40*(1+Inputs!$D$40)^(C$7-1))</f>
        <v>3500</v>
      </c>
      <c r="D22" s="36">
        <f>IF(Inputs!$C$40="",0,Inputs!$C$40*(1+Inputs!$D$40)^(D$7-1))</f>
        <v>3605</v>
      </c>
      <c r="E22" s="36">
        <f>IF(Inputs!$C$40="",0,Inputs!$C$40*(1+Inputs!$D$40)^(E$7-1))</f>
        <v>3713.15</v>
      </c>
      <c r="F22" s="36">
        <f>IF(Inputs!$C$40="",0,Inputs!$C$40*(1+Inputs!$D$40)^(F$7-1))</f>
        <v>3824.5445</v>
      </c>
      <c r="G22" s="36">
        <f>IF(Inputs!$C$40="",0,Inputs!$C$40*(1+Inputs!$D$40)^(G$7-1))</f>
        <v>3939.280835</v>
      </c>
      <c r="H22" s="36">
        <f>IF(Inputs!$C$40="",0,Inputs!$C$40*(1+Inputs!$D$40)^(H$7-1))</f>
        <v>4057.45926</v>
      </c>
      <c r="I22" s="36">
        <f>IF(Inputs!$C$40="",0,Inputs!$C$40*(1+Inputs!$D$40)^(I$7-1))</f>
        <v>4179.183038</v>
      </c>
      <c r="J22" s="36">
        <f>IF(Inputs!$C$40="",0,Inputs!$C$40*(1+Inputs!$D$40)^(J$7-1))</f>
        <v>4304.558529</v>
      </c>
      <c r="K22" s="36">
        <f>IF(Inputs!$C$40="",0,Inputs!$C$40*(1+Inputs!$D$40)^(K$7-1))</f>
        <v>4433.695285</v>
      </c>
      <c r="L22" s="36">
        <f>IF(Inputs!$C$40="",0,Inputs!$C$40*(1+Inputs!$D$40)^(L$7-1))</f>
        <v>4566.706143</v>
      </c>
      <c r="M22" s="36">
        <f>IF(Inputs!$C$40="",0,Inputs!$C$40*(1+Inputs!$D$40)^(M$7-1))</f>
        <v>4703.707328</v>
      </c>
      <c r="N22" s="36">
        <f>IF(Inputs!$C$40="",0,Inputs!$C$40*(1+Inputs!$D$40)^(N$7-1))</f>
        <v>4844.818548</v>
      </c>
      <c r="O22" s="36">
        <f>IF(Inputs!$C$40="",0,Inputs!$C$40*(1+Inputs!$D$40)^(O$7-1))</f>
        <v>4990.163104</v>
      </c>
      <c r="P22" s="36">
        <f>IF(Inputs!$C$40="",0,Inputs!$C$40*(1+Inputs!$D$40)^(P$7-1))</f>
        <v>5139.867997</v>
      </c>
      <c r="Q22" s="36">
        <f>IF(Inputs!$C$40="",0,Inputs!$C$40*(1+Inputs!$D$40)^(Q$7-1))</f>
        <v>5294.064037</v>
      </c>
      <c r="R22" s="36">
        <f>IF(Inputs!$C$40="",0,Inputs!$C$40*(1+Inputs!$D$40)^(R$7-1))</f>
        <v>5452.885958</v>
      </c>
      <c r="S22" s="36">
        <f>IF(Inputs!$C$40="",0,Inputs!$C$40*(1+Inputs!$D$40)^(S$7-1))</f>
        <v>5616.472537</v>
      </c>
      <c r="T22" s="36">
        <f>IF(Inputs!$C$40="",0,Inputs!$C$40*(1+Inputs!$D$40)^(T$7-1))</f>
        <v>5784.966713</v>
      </c>
      <c r="U22" s="36">
        <f>IF(Inputs!$C$40="",0,Inputs!$C$40*(1+Inputs!$D$40)^(U$7-1))</f>
        <v>5958.515714</v>
      </c>
      <c r="V22" s="36">
        <f>IF(Inputs!$C$40="",0,Inputs!$C$40*(1+Inputs!$D$40)^(V$7-1))</f>
        <v>6137.271186</v>
      </c>
      <c r="W22" s="36">
        <f>IF(Inputs!$C$40="",0,Inputs!$C$40*(1+Inputs!$D$40)^(W$7-1))</f>
        <v>6321.389321</v>
      </c>
      <c r="X22" s="36">
        <f>IF(Inputs!$C$40="",0,Inputs!$C$40*(1+Inputs!$D$40)^(X$7-1))</f>
        <v>6511.031001</v>
      </c>
      <c r="Y22" s="36">
        <f>IF(Inputs!$C$40="",0,Inputs!$C$40*(1+Inputs!$D$40)^(Y$7-1))</f>
        <v>6706.361931</v>
      </c>
      <c r="Z22" s="36">
        <f>IF(Inputs!$C$40="",0,Inputs!$C$40*(1+Inputs!$D$40)^(Z$7-1))</f>
        <v>6907.552789</v>
      </c>
      <c r="AA22" s="36">
        <f>IF(Inputs!$C$40="",0,Inputs!$C$40*(1+Inputs!$D$40)^(AA$7-1))</f>
        <v>7114.779373</v>
      </c>
      <c r="AB22" s="36">
        <f>IF(Inputs!$C$40="",0,Inputs!$C$40*(1+Inputs!$D$40)^(AB$7-1))</f>
        <v>7328.222754</v>
      </c>
      <c r="AC22" s="36">
        <f>IF(Inputs!$C$40="",0,Inputs!$C$40*(1+Inputs!$D$40)^(AC$7-1))</f>
        <v>7548.069436</v>
      </c>
      <c r="AD22" s="36">
        <f>IF(Inputs!$C$40="",0,Inputs!$C$40*(1+Inputs!$D$40)^(AD$7-1))</f>
        <v>7774.511519</v>
      </c>
      <c r="AE22" s="36">
        <f>IF(Inputs!$C$40="",0,Inputs!$C$40*(1+Inputs!$D$40)^(AE$7-1))</f>
        <v>8007.746865</v>
      </c>
      <c r="AF22" s="36">
        <f>IF(Inputs!$C$40="",0,Inputs!$C$40*(1+Inputs!$D$40)^(AF$7-1))</f>
        <v>8247.979271</v>
      </c>
    </row>
    <row r="23" ht="15.75" customHeight="1">
      <c r="B23" s="43" t="str">
        <f>IF(Inputs!B41="","–",Inputs!B41)</f>
        <v>Professional fees</v>
      </c>
      <c r="C23" s="36">
        <f>IF(Inputs!$C$41="",0,Inputs!$C$41*(1+Inputs!$D$41)^(C$7-1))</f>
        <v>2500</v>
      </c>
      <c r="D23" s="36">
        <f>IF(Inputs!$C$41="",0,Inputs!$C$41*(1+Inputs!$D$41)^(D$7-1))</f>
        <v>2550</v>
      </c>
      <c r="E23" s="36">
        <f>IF(Inputs!$C$41="",0,Inputs!$C$41*(1+Inputs!$D$41)^(E$7-1))</f>
        <v>2601</v>
      </c>
      <c r="F23" s="36">
        <f>IF(Inputs!$C$41="",0,Inputs!$C$41*(1+Inputs!$D$41)^(F$7-1))</f>
        <v>2653.02</v>
      </c>
      <c r="G23" s="36">
        <f>IF(Inputs!$C$41="",0,Inputs!$C$41*(1+Inputs!$D$41)^(G$7-1))</f>
        <v>2706.0804</v>
      </c>
      <c r="H23" s="36">
        <f>IF(Inputs!$C$41="",0,Inputs!$C$41*(1+Inputs!$D$41)^(H$7-1))</f>
        <v>2760.202008</v>
      </c>
      <c r="I23" s="36">
        <f>IF(Inputs!$C$41="",0,Inputs!$C$41*(1+Inputs!$D$41)^(I$7-1))</f>
        <v>2815.406048</v>
      </c>
      <c r="J23" s="36">
        <f>IF(Inputs!$C$41="",0,Inputs!$C$41*(1+Inputs!$D$41)^(J$7-1))</f>
        <v>2871.714169</v>
      </c>
      <c r="K23" s="36">
        <f>IF(Inputs!$C$41="",0,Inputs!$C$41*(1+Inputs!$D$41)^(K$7-1))</f>
        <v>2929.148453</v>
      </c>
      <c r="L23" s="36">
        <f>IF(Inputs!$C$41="",0,Inputs!$C$41*(1+Inputs!$D$41)^(L$7-1))</f>
        <v>2987.731422</v>
      </c>
      <c r="M23" s="36">
        <f>IF(Inputs!$C$41="",0,Inputs!$C$41*(1+Inputs!$D$41)^(M$7-1))</f>
        <v>3047.48605</v>
      </c>
      <c r="N23" s="36">
        <f>IF(Inputs!$C$41="",0,Inputs!$C$41*(1+Inputs!$D$41)^(N$7-1))</f>
        <v>3108.435771</v>
      </c>
      <c r="O23" s="36">
        <f>IF(Inputs!$C$41="",0,Inputs!$C$41*(1+Inputs!$D$41)^(O$7-1))</f>
        <v>3170.604486</v>
      </c>
      <c r="P23" s="36">
        <f>IF(Inputs!$C$41="",0,Inputs!$C$41*(1+Inputs!$D$41)^(P$7-1))</f>
        <v>3234.016576</v>
      </c>
      <c r="Q23" s="36">
        <f>IF(Inputs!$C$41="",0,Inputs!$C$41*(1+Inputs!$D$41)^(Q$7-1))</f>
        <v>3298.696908</v>
      </c>
      <c r="R23" s="36">
        <f>IF(Inputs!$C$41="",0,Inputs!$C$41*(1+Inputs!$D$41)^(R$7-1))</f>
        <v>3364.670846</v>
      </c>
      <c r="S23" s="36">
        <f>IF(Inputs!$C$41="",0,Inputs!$C$41*(1+Inputs!$D$41)^(S$7-1))</f>
        <v>3431.964263</v>
      </c>
      <c r="T23" s="36">
        <f>IF(Inputs!$C$41="",0,Inputs!$C$41*(1+Inputs!$D$41)^(T$7-1))</f>
        <v>3500.603548</v>
      </c>
      <c r="U23" s="36">
        <f>IF(Inputs!$C$41="",0,Inputs!$C$41*(1+Inputs!$D$41)^(U$7-1))</f>
        <v>3570.615619</v>
      </c>
      <c r="V23" s="36">
        <f>IF(Inputs!$C$41="",0,Inputs!$C$41*(1+Inputs!$D$41)^(V$7-1))</f>
        <v>3642.027931</v>
      </c>
      <c r="W23" s="36">
        <f>IF(Inputs!$C$41="",0,Inputs!$C$41*(1+Inputs!$D$41)^(W$7-1))</f>
        <v>3714.86849</v>
      </c>
      <c r="X23" s="36">
        <f>IF(Inputs!$C$41="",0,Inputs!$C$41*(1+Inputs!$D$41)^(X$7-1))</f>
        <v>3789.16586</v>
      </c>
      <c r="Y23" s="36">
        <f>IF(Inputs!$C$41="",0,Inputs!$C$41*(1+Inputs!$D$41)^(Y$7-1))</f>
        <v>3864.949177</v>
      </c>
      <c r="Z23" s="36">
        <f>IF(Inputs!$C$41="",0,Inputs!$C$41*(1+Inputs!$D$41)^(Z$7-1))</f>
        <v>3942.24816</v>
      </c>
      <c r="AA23" s="36">
        <f>IF(Inputs!$C$41="",0,Inputs!$C$41*(1+Inputs!$D$41)^(AA$7-1))</f>
        <v>4021.093124</v>
      </c>
      <c r="AB23" s="36">
        <f>IF(Inputs!$C$41="",0,Inputs!$C$41*(1+Inputs!$D$41)^(AB$7-1))</f>
        <v>4101.514986</v>
      </c>
      <c r="AC23" s="36">
        <f>IF(Inputs!$C$41="",0,Inputs!$C$41*(1+Inputs!$D$41)^(AC$7-1))</f>
        <v>4183.545286</v>
      </c>
      <c r="AD23" s="36">
        <f>IF(Inputs!$C$41="",0,Inputs!$C$41*(1+Inputs!$D$41)^(AD$7-1))</f>
        <v>4267.216192</v>
      </c>
      <c r="AE23" s="36">
        <f>IF(Inputs!$C$41="",0,Inputs!$C$41*(1+Inputs!$D$41)^(AE$7-1))</f>
        <v>4352.560515</v>
      </c>
      <c r="AF23" s="36">
        <f>IF(Inputs!$C$41="",0,Inputs!$C$41*(1+Inputs!$D$41)^(AF$7-1))</f>
        <v>4439.611726</v>
      </c>
    </row>
    <row r="24" ht="15.75" customHeight="1">
      <c r="B24" s="43" t="str">
        <f>IF(Inputs!B42="","–",Inputs!B42)</f>
        <v>Insurance</v>
      </c>
      <c r="C24" s="36">
        <f>IF(Inputs!$C$42="",0,Inputs!$C$42*(1+Inputs!$D$42)^(C$7-1))</f>
        <v>800</v>
      </c>
      <c r="D24" s="36">
        <f>IF(Inputs!$C$42="",0,Inputs!$C$42*(1+Inputs!$D$42)^(D$7-1))</f>
        <v>800</v>
      </c>
      <c r="E24" s="36">
        <f>IF(Inputs!$C$42="",0,Inputs!$C$42*(1+Inputs!$D$42)^(E$7-1))</f>
        <v>800</v>
      </c>
      <c r="F24" s="36">
        <f>IF(Inputs!$C$42="",0,Inputs!$C$42*(1+Inputs!$D$42)^(F$7-1))</f>
        <v>800</v>
      </c>
      <c r="G24" s="36">
        <f>IF(Inputs!$C$42="",0,Inputs!$C$42*(1+Inputs!$D$42)^(G$7-1))</f>
        <v>800</v>
      </c>
      <c r="H24" s="36">
        <f>IF(Inputs!$C$42="",0,Inputs!$C$42*(1+Inputs!$D$42)^(H$7-1))</f>
        <v>800</v>
      </c>
      <c r="I24" s="36">
        <f>IF(Inputs!$C$42="",0,Inputs!$C$42*(1+Inputs!$D$42)^(I$7-1))</f>
        <v>800</v>
      </c>
      <c r="J24" s="36">
        <f>IF(Inputs!$C$42="",0,Inputs!$C$42*(1+Inputs!$D$42)^(J$7-1))</f>
        <v>800</v>
      </c>
      <c r="K24" s="36">
        <f>IF(Inputs!$C$42="",0,Inputs!$C$42*(1+Inputs!$D$42)^(K$7-1))</f>
        <v>800</v>
      </c>
      <c r="L24" s="36">
        <f>IF(Inputs!$C$42="",0,Inputs!$C$42*(1+Inputs!$D$42)^(L$7-1))</f>
        <v>800</v>
      </c>
      <c r="M24" s="36">
        <f>IF(Inputs!$C$42="",0,Inputs!$C$42*(1+Inputs!$D$42)^(M$7-1))</f>
        <v>800</v>
      </c>
      <c r="N24" s="36">
        <f>IF(Inputs!$C$42="",0,Inputs!$C$42*(1+Inputs!$D$42)^(N$7-1))</f>
        <v>800</v>
      </c>
      <c r="O24" s="36">
        <f>IF(Inputs!$C$42="",0,Inputs!$C$42*(1+Inputs!$D$42)^(O$7-1))</f>
        <v>800</v>
      </c>
      <c r="P24" s="36">
        <f>IF(Inputs!$C$42="",0,Inputs!$C$42*(1+Inputs!$D$42)^(P$7-1))</f>
        <v>800</v>
      </c>
      <c r="Q24" s="36">
        <f>IF(Inputs!$C$42="",0,Inputs!$C$42*(1+Inputs!$D$42)^(Q$7-1))</f>
        <v>800</v>
      </c>
      <c r="R24" s="36">
        <f>IF(Inputs!$C$42="",0,Inputs!$C$42*(1+Inputs!$D$42)^(R$7-1))</f>
        <v>800</v>
      </c>
      <c r="S24" s="36">
        <f>IF(Inputs!$C$42="",0,Inputs!$C$42*(1+Inputs!$D$42)^(S$7-1))</f>
        <v>800</v>
      </c>
      <c r="T24" s="36">
        <f>IF(Inputs!$C$42="",0,Inputs!$C$42*(1+Inputs!$D$42)^(T$7-1))</f>
        <v>800</v>
      </c>
      <c r="U24" s="36">
        <f>IF(Inputs!$C$42="",0,Inputs!$C$42*(1+Inputs!$D$42)^(U$7-1))</f>
        <v>800</v>
      </c>
      <c r="V24" s="36">
        <f>IF(Inputs!$C$42="",0,Inputs!$C$42*(1+Inputs!$D$42)^(V$7-1))</f>
        <v>800</v>
      </c>
      <c r="W24" s="36">
        <f>IF(Inputs!$C$42="",0,Inputs!$C$42*(1+Inputs!$D$42)^(W$7-1))</f>
        <v>800</v>
      </c>
      <c r="X24" s="36">
        <f>IF(Inputs!$C$42="",0,Inputs!$C$42*(1+Inputs!$D$42)^(X$7-1))</f>
        <v>800</v>
      </c>
      <c r="Y24" s="36">
        <f>IF(Inputs!$C$42="",0,Inputs!$C$42*(1+Inputs!$D$42)^(Y$7-1))</f>
        <v>800</v>
      </c>
      <c r="Z24" s="36">
        <f>IF(Inputs!$C$42="",0,Inputs!$C$42*(1+Inputs!$D$42)^(Z$7-1))</f>
        <v>800</v>
      </c>
      <c r="AA24" s="36">
        <f>IF(Inputs!$C$42="",0,Inputs!$C$42*(1+Inputs!$D$42)^(AA$7-1))</f>
        <v>800</v>
      </c>
      <c r="AB24" s="36">
        <f>IF(Inputs!$C$42="",0,Inputs!$C$42*(1+Inputs!$D$42)^(AB$7-1))</f>
        <v>800</v>
      </c>
      <c r="AC24" s="36">
        <f>IF(Inputs!$C$42="",0,Inputs!$C$42*(1+Inputs!$D$42)^(AC$7-1))</f>
        <v>800</v>
      </c>
      <c r="AD24" s="36">
        <f>IF(Inputs!$C$42="",0,Inputs!$C$42*(1+Inputs!$D$42)^(AD$7-1))</f>
        <v>800</v>
      </c>
      <c r="AE24" s="36">
        <f>IF(Inputs!$C$42="",0,Inputs!$C$42*(1+Inputs!$D$42)^(AE$7-1))</f>
        <v>800</v>
      </c>
      <c r="AF24" s="36">
        <f>IF(Inputs!$C$42="",0,Inputs!$C$42*(1+Inputs!$D$42)^(AF$7-1))</f>
        <v>800</v>
      </c>
    </row>
    <row r="25" ht="15.75" customHeight="1">
      <c r="B25" s="43" t="str">
        <f>IF(Inputs!B43="","–",Inputs!B43)</f>
        <v>Other</v>
      </c>
      <c r="C25" s="36">
        <f>IF(Inputs!$C$43="",0,Inputs!$C$43*(1+Inputs!$D$43)^(C$7-1))</f>
        <v>1500</v>
      </c>
      <c r="D25" s="36">
        <f>IF(Inputs!$C$43="",0,Inputs!$C$43*(1+Inputs!$D$43)^(D$7-1))</f>
        <v>1545</v>
      </c>
      <c r="E25" s="36">
        <f>IF(Inputs!$C$43="",0,Inputs!$C$43*(1+Inputs!$D$43)^(E$7-1))</f>
        <v>1591.35</v>
      </c>
      <c r="F25" s="36">
        <f>IF(Inputs!$C$43="",0,Inputs!$C$43*(1+Inputs!$D$43)^(F$7-1))</f>
        <v>1639.0905</v>
      </c>
      <c r="G25" s="36">
        <f>IF(Inputs!$C$43="",0,Inputs!$C$43*(1+Inputs!$D$43)^(G$7-1))</f>
        <v>1688.263215</v>
      </c>
      <c r="H25" s="36">
        <f>IF(Inputs!$C$43="",0,Inputs!$C$43*(1+Inputs!$D$43)^(H$7-1))</f>
        <v>1738.911111</v>
      </c>
      <c r="I25" s="36">
        <f>IF(Inputs!$C$43="",0,Inputs!$C$43*(1+Inputs!$D$43)^(I$7-1))</f>
        <v>1791.078445</v>
      </c>
      <c r="J25" s="36">
        <f>IF(Inputs!$C$43="",0,Inputs!$C$43*(1+Inputs!$D$43)^(J$7-1))</f>
        <v>1844.810798</v>
      </c>
      <c r="K25" s="36">
        <f>IF(Inputs!$C$43="",0,Inputs!$C$43*(1+Inputs!$D$43)^(K$7-1))</f>
        <v>1900.155122</v>
      </c>
      <c r="L25" s="36">
        <f>IF(Inputs!$C$43="",0,Inputs!$C$43*(1+Inputs!$D$43)^(L$7-1))</f>
        <v>1957.159776</v>
      </c>
      <c r="M25" s="36">
        <f>IF(Inputs!$C$43="",0,Inputs!$C$43*(1+Inputs!$D$43)^(M$7-1))</f>
        <v>2015.874569</v>
      </c>
      <c r="N25" s="36">
        <f>IF(Inputs!$C$43="",0,Inputs!$C$43*(1+Inputs!$D$43)^(N$7-1))</f>
        <v>2076.350806</v>
      </c>
      <c r="O25" s="36">
        <f>IF(Inputs!$C$43="",0,Inputs!$C$43*(1+Inputs!$D$43)^(O$7-1))</f>
        <v>2138.64133</v>
      </c>
      <c r="P25" s="36">
        <f>IF(Inputs!$C$43="",0,Inputs!$C$43*(1+Inputs!$D$43)^(P$7-1))</f>
        <v>2202.80057</v>
      </c>
      <c r="Q25" s="36">
        <f>IF(Inputs!$C$43="",0,Inputs!$C$43*(1+Inputs!$D$43)^(Q$7-1))</f>
        <v>2268.884587</v>
      </c>
      <c r="R25" s="36">
        <f>IF(Inputs!$C$43="",0,Inputs!$C$43*(1+Inputs!$D$43)^(R$7-1))</f>
        <v>2336.951125</v>
      </c>
      <c r="S25" s="36">
        <f>IF(Inputs!$C$43="",0,Inputs!$C$43*(1+Inputs!$D$43)^(S$7-1))</f>
        <v>2407.059659</v>
      </c>
      <c r="T25" s="36">
        <f>IF(Inputs!$C$43="",0,Inputs!$C$43*(1+Inputs!$D$43)^(T$7-1))</f>
        <v>2479.271448</v>
      </c>
      <c r="U25" s="36">
        <f>IF(Inputs!$C$43="",0,Inputs!$C$43*(1+Inputs!$D$43)^(U$7-1))</f>
        <v>2553.649592</v>
      </c>
      <c r="V25" s="36">
        <f>IF(Inputs!$C$43="",0,Inputs!$C$43*(1+Inputs!$D$43)^(V$7-1))</f>
        <v>2630.25908</v>
      </c>
      <c r="W25" s="36">
        <f>IF(Inputs!$C$43="",0,Inputs!$C$43*(1+Inputs!$D$43)^(W$7-1))</f>
        <v>2709.166852</v>
      </c>
      <c r="X25" s="36">
        <f>IF(Inputs!$C$43="",0,Inputs!$C$43*(1+Inputs!$D$43)^(X$7-1))</f>
        <v>2790.441858</v>
      </c>
      <c r="Y25" s="36">
        <f>IF(Inputs!$C$43="",0,Inputs!$C$43*(1+Inputs!$D$43)^(Y$7-1))</f>
        <v>2874.155113</v>
      </c>
      <c r="Z25" s="36">
        <f>IF(Inputs!$C$43="",0,Inputs!$C$43*(1+Inputs!$D$43)^(Z$7-1))</f>
        <v>2960.379767</v>
      </c>
      <c r="AA25" s="36">
        <f>IF(Inputs!$C$43="",0,Inputs!$C$43*(1+Inputs!$D$43)^(AA$7-1))</f>
        <v>3049.19116</v>
      </c>
      <c r="AB25" s="36">
        <f>IF(Inputs!$C$43="",0,Inputs!$C$43*(1+Inputs!$D$43)^(AB$7-1))</f>
        <v>3140.666894</v>
      </c>
      <c r="AC25" s="36">
        <f>IF(Inputs!$C$43="",0,Inputs!$C$43*(1+Inputs!$D$43)^(AC$7-1))</f>
        <v>3234.886901</v>
      </c>
      <c r="AD25" s="36">
        <f>IF(Inputs!$C$43="",0,Inputs!$C$43*(1+Inputs!$D$43)^(AD$7-1))</f>
        <v>3331.933508</v>
      </c>
      <c r="AE25" s="36">
        <f>IF(Inputs!$C$43="",0,Inputs!$C$43*(1+Inputs!$D$43)^(AE$7-1))</f>
        <v>3431.891514</v>
      </c>
      <c r="AF25" s="36">
        <f>IF(Inputs!$C$43="",0,Inputs!$C$43*(1+Inputs!$D$43)^(AF$7-1))</f>
        <v>3534.848259</v>
      </c>
    </row>
    <row r="26" ht="15.75" customHeight="1">
      <c r="B26" s="43" t="str">
        <f>IF(Inputs!B44="","–",Inputs!B44)</f>
        <v>–</v>
      </c>
      <c r="C26" s="36">
        <f>IF(Inputs!$C$44="",0,Inputs!$C$44*(1+Inputs!$D$44)^(C$7-1))</f>
        <v>0</v>
      </c>
      <c r="D26" s="36">
        <f>IF(Inputs!$C$44="",0,Inputs!$C$44*(1+Inputs!$D$44)^(D$7-1))</f>
        <v>0</v>
      </c>
      <c r="E26" s="36">
        <f>IF(Inputs!$C$44="",0,Inputs!$C$44*(1+Inputs!$D$44)^(E$7-1))</f>
        <v>0</v>
      </c>
      <c r="F26" s="36">
        <f>IF(Inputs!$C$44="",0,Inputs!$C$44*(1+Inputs!$D$44)^(F$7-1))</f>
        <v>0</v>
      </c>
      <c r="G26" s="36">
        <f>IF(Inputs!$C$44="",0,Inputs!$C$44*(1+Inputs!$D$44)^(G$7-1))</f>
        <v>0</v>
      </c>
      <c r="H26" s="36">
        <f>IF(Inputs!$C$44="",0,Inputs!$C$44*(1+Inputs!$D$44)^(H$7-1))</f>
        <v>0</v>
      </c>
      <c r="I26" s="36">
        <f>IF(Inputs!$C$44="",0,Inputs!$C$44*(1+Inputs!$D$44)^(I$7-1))</f>
        <v>0</v>
      </c>
      <c r="J26" s="36">
        <f>IF(Inputs!$C$44="",0,Inputs!$C$44*(1+Inputs!$D$44)^(J$7-1))</f>
        <v>0</v>
      </c>
      <c r="K26" s="36">
        <f>IF(Inputs!$C$44="",0,Inputs!$C$44*(1+Inputs!$D$44)^(K$7-1))</f>
        <v>0</v>
      </c>
      <c r="L26" s="36">
        <f>IF(Inputs!$C$44="",0,Inputs!$C$44*(1+Inputs!$D$44)^(L$7-1))</f>
        <v>0</v>
      </c>
      <c r="M26" s="36">
        <f>IF(Inputs!$C$44="",0,Inputs!$C$44*(1+Inputs!$D$44)^(M$7-1))</f>
        <v>0</v>
      </c>
      <c r="N26" s="36">
        <f>IF(Inputs!$C$44="",0,Inputs!$C$44*(1+Inputs!$D$44)^(N$7-1))</f>
        <v>0</v>
      </c>
      <c r="O26" s="36">
        <f>IF(Inputs!$C$44="",0,Inputs!$C$44*(1+Inputs!$D$44)^(O$7-1))</f>
        <v>0</v>
      </c>
      <c r="P26" s="36">
        <f>IF(Inputs!$C$44="",0,Inputs!$C$44*(1+Inputs!$D$44)^(P$7-1))</f>
        <v>0</v>
      </c>
      <c r="Q26" s="36">
        <f>IF(Inputs!$C$44="",0,Inputs!$C$44*(1+Inputs!$D$44)^(Q$7-1))</f>
        <v>0</v>
      </c>
      <c r="R26" s="36">
        <f>IF(Inputs!$C$44="",0,Inputs!$C$44*(1+Inputs!$D$44)^(R$7-1))</f>
        <v>0</v>
      </c>
      <c r="S26" s="36">
        <f>IF(Inputs!$C$44="",0,Inputs!$C$44*(1+Inputs!$D$44)^(S$7-1))</f>
        <v>0</v>
      </c>
      <c r="T26" s="36">
        <f>IF(Inputs!$C$44="",0,Inputs!$C$44*(1+Inputs!$D$44)^(T$7-1))</f>
        <v>0</v>
      </c>
      <c r="U26" s="36">
        <f>IF(Inputs!$C$44="",0,Inputs!$C$44*(1+Inputs!$D$44)^(U$7-1))</f>
        <v>0</v>
      </c>
      <c r="V26" s="36">
        <f>IF(Inputs!$C$44="",0,Inputs!$C$44*(1+Inputs!$D$44)^(V$7-1))</f>
        <v>0</v>
      </c>
      <c r="W26" s="36">
        <f>IF(Inputs!$C$44="",0,Inputs!$C$44*(1+Inputs!$D$44)^(W$7-1))</f>
        <v>0</v>
      </c>
      <c r="X26" s="36">
        <f>IF(Inputs!$C$44="",0,Inputs!$C$44*(1+Inputs!$D$44)^(X$7-1))</f>
        <v>0</v>
      </c>
      <c r="Y26" s="36">
        <f>IF(Inputs!$C$44="",0,Inputs!$C$44*(1+Inputs!$D$44)^(Y$7-1))</f>
        <v>0</v>
      </c>
      <c r="Z26" s="36">
        <f>IF(Inputs!$C$44="",0,Inputs!$C$44*(1+Inputs!$D$44)^(Z$7-1))</f>
        <v>0</v>
      </c>
      <c r="AA26" s="36">
        <f>IF(Inputs!$C$44="",0,Inputs!$C$44*(1+Inputs!$D$44)^(AA$7-1))</f>
        <v>0</v>
      </c>
      <c r="AB26" s="36">
        <f>IF(Inputs!$C$44="",0,Inputs!$C$44*(1+Inputs!$D$44)^(AB$7-1))</f>
        <v>0</v>
      </c>
      <c r="AC26" s="36">
        <f>IF(Inputs!$C$44="",0,Inputs!$C$44*(1+Inputs!$D$44)^(AC$7-1))</f>
        <v>0</v>
      </c>
      <c r="AD26" s="36">
        <f>IF(Inputs!$C$44="",0,Inputs!$C$44*(1+Inputs!$D$44)^(AD$7-1))</f>
        <v>0</v>
      </c>
      <c r="AE26" s="36">
        <f>IF(Inputs!$C$44="",0,Inputs!$C$44*(1+Inputs!$D$44)^(AE$7-1))</f>
        <v>0</v>
      </c>
      <c r="AF26" s="36">
        <f>IF(Inputs!$C$44="",0,Inputs!$C$44*(1+Inputs!$D$44)^(AF$7-1))</f>
        <v>0</v>
      </c>
    </row>
    <row r="27" ht="15.75" customHeight="1">
      <c r="B27" s="43" t="str">
        <f>IF(Inputs!B45="","–",Inputs!B45)</f>
        <v>–</v>
      </c>
      <c r="C27" s="36">
        <f>IF(Inputs!$C$45="",0,Inputs!$C$45*(1+Inputs!$D$45)^(C$7-1))</f>
        <v>0</v>
      </c>
      <c r="D27" s="36">
        <f>IF(Inputs!$C$45="",0,Inputs!$C$45*(1+Inputs!$D$45)^(D$7-1))</f>
        <v>0</v>
      </c>
      <c r="E27" s="36">
        <f>IF(Inputs!$C$45="",0,Inputs!$C$45*(1+Inputs!$D$45)^(E$7-1))</f>
        <v>0</v>
      </c>
      <c r="F27" s="36">
        <f>IF(Inputs!$C$45="",0,Inputs!$C$45*(1+Inputs!$D$45)^(F$7-1))</f>
        <v>0</v>
      </c>
      <c r="G27" s="36">
        <f>IF(Inputs!$C$45="",0,Inputs!$C$45*(1+Inputs!$D$45)^(G$7-1))</f>
        <v>0</v>
      </c>
      <c r="H27" s="36">
        <f>IF(Inputs!$C$45="",0,Inputs!$C$45*(1+Inputs!$D$45)^(H$7-1))</f>
        <v>0</v>
      </c>
      <c r="I27" s="36">
        <f>IF(Inputs!$C$45="",0,Inputs!$C$45*(1+Inputs!$D$45)^(I$7-1))</f>
        <v>0</v>
      </c>
      <c r="J27" s="36">
        <f>IF(Inputs!$C$45="",0,Inputs!$C$45*(1+Inputs!$D$45)^(J$7-1))</f>
        <v>0</v>
      </c>
      <c r="K27" s="36">
        <f>IF(Inputs!$C$45="",0,Inputs!$C$45*(1+Inputs!$D$45)^(K$7-1))</f>
        <v>0</v>
      </c>
      <c r="L27" s="36">
        <f>IF(Inputs!$C$45="",0,Inputs!$C$45*(1+Inputs!$D$45)^(L$7-1))</f>
        <v>0</v>
      </c>
      <c r="M27" s="36">
        <f>IF(Inputs!$C$45="",0,Inputs!$C$45*(1+Inputs!$D$45)^(M$7-1))</f>
        <v>0</v>
      </c>
      <c r="N27" s="36">
        <f>IF(Inputs!$C$45="",0,Inputs!$C$45*(1+Inputs!$D$45)^(N$7-1))</f>
        <v>0</v>
      </c>
      <c r="O27" s="36">
        <f>IF(Inputs!$C$45="",0,Inputs!$C$45*(1+Inputs!$D$45)^(O$7-1))</f>
        <v>0</v>
      </c>
      <c r="P27" s="36">
        <f>IF(Inputs!$C$45="",0,Inputs!$C$45*(1+Inputs!$D$45)^(P$7-1))</f>
        <v>0</v>
      </c>
      <c r="Q27" s="36">
        <f>IF(Inputs!$C$45="",0,Inputs!$C$45*(1+Inputs!$D$45)^(Q$7-1))</f>
        <v>0</v>
      </c>
      <c r="R27" s="36">
        <f>IF(Inputs!$C$45="",0,Inputs!$C$45*(1+Inputs!$D$45)^(R$7-1))</f>
        <v>0</v>
      </c>
      <c r="S27" s="36">
        <f>IF(Inputs!$C$45="",0,Inputs!$C$45*(1+Inputs!$D$45)^(S$7-1))</f>
        <v>0</v>
      </c>
      <c r="T27" s="36">
        <f>IF(Inputs!$C$45="",0,Inputs!$C$45*(1+Inputs!$D$45)^(T$7-1))</f>
        <v>0</v>
      </c>
      <c r="U27" s="36">
        <f>IF(Inputs!$C$45="",0,Inputs!$C$45*(1+Inputs!$D$45)^(U$7-1))</f>
        <v>0</v>
      </c>
      <c r="V27" s="36">
        <f>IF(Inputs!$C$45="",0,Inputs!$C$45*(1+Inputs!$D$45)^(V$7-1))</f>
        <v>0</v>
      </c>
      <c r="W27" s="36">
        <f>IF(Inputs!$C$45="",0,Inputs!$C$45*(1+Inputs!$D$45)^(W$7-1))</f>
        <v>0</v>
      </c>
      <c r="X27" s="36">
        <f>IF(Inputs!$C$45="",0,Inputs!$C$45*(1+Inputs!$D$45)^(X$7-1))</f>
        <v>0</v>
      </c>
      <c r="Y27" s="36">
        <f>IF(Inputs!$C$45="",0,Inputs!$C$45*(1+Inputs!$D$45)^(Y$7-1))</f>
        <v>0</v>
      </c>
      <c r="Z27" s="36">
        <f>IF(Inputs!$C$45="",0,Inputs!$C$45*(1+Inputs!$D$45)^(Z$7-1))</f>
        <v>0</v>
      </c>
      <c r="AA27" s="36">
        <f>IF(Inputs!$C$45="",0,Inputs!$C$45*(1+Inputs!$D$45)^(AA$7-1))</f>
        <v>0</v>
      </c>
      <c r="AB27" s="36">
        <f>IF(Inputs!$C$45="",0,Inputs!$C$45*(1+Inputs!$D$45)^(AB$7-1))</f>
        <v>0</v>
      </c>
      <c r="AC27" s="36">
        <f>IF(Inputs!$C$45="",0,Inputs!$C$45*(1+Inputs!$D$45)^(AC$7-1))</f>
        <v>0</v>
      </c>
      <c r="AD27" s="36">
        <f>IF(Inputs!$C$45="",0,Inputs!$C$45*(1+Inputs!$D$45)^(AD$7-1))</f>
        <v>0</v>
      </c>
      <c r="AE27" s="36">
        <f>IF(Inputs!$C$45="",0,Inputs!$C$45*(1+Inputs!$D$45)^(AE$7-1))</f>
        <v>0</v>
      </c>
      <c r="AF27" s="36">
        <f>IF(Inputs!$C$45="",0,Inputs!$C$45*(1+Inputs!$D$45)^(AF$7-1))</f>
        <v>0</v>
      </c>
    </row>
    <row r="28" ht="15.75" customHeight="1">
      <c r="B28" s="19" t="s">
        <v>158</v>
      </c>
      <c r="C28" s="27">
        <v>0.0</v>
      </c>
      <c r="D28" s="27">
        <v>0.0</v>
      </c>
      <c r="E28" s="27">
        <v>0.0</v>
      </c>
      <c r="F28" s="27">
        <v>0.0</v>
      </c>
      <c r="G28" s="27">
        <v>0.0</v>
      </c>
      <c r="H28" s="27">
        <v>0.0</v>
      </c>
      <c r="I28" s="27">
        <v>0.0</v>
      </c>
      <c r="J28" s="27">
        <v>0.0</v>
      </c>
      <c r="K28" s="27">
        <v>0.0</v>
      </c>
      <c r="L28" s="27">
        <v>0.0</v>
      </c>
      <c r="M28" s="27">
        <v>0.0</v>
      </c>
      <c r="N28" s="27">
        <v>0.0</v>
      </c>
      <c r="O28" s="27">
        <v>0.0</v>
      </c>
      <c r="P28" s="27">
        <v>0.0</v>
      </c>
      <c r="Q28" s="27">
        <v>0.0</v>
      </c>
      <c r="R28" s="27">
        <v>0.0</v>
      </c>
      <c r="S28" s="27">
        <v>0.0</v>
      </c>
      <c r="T28" s="27">
        <v>0.0</v>
      </c>
      <c r="U28" s="27">
        <v>0.0</v>
      </c>
      <c r="V28" s="27">
        <v>0.0</v>
      </c>
      <c r="W28" s="27">
        <v>0.0</v>
      </c>
      <c r="X28" s="27">
        <v>0.0</v>
      </c>
      <c r="Y28" s="27">
        <v>0.0</v>
      </c>
      <c r="Z28" s="27">
        <v>0.0</v>
      </c>
      <c r="AA28" s="27">
        <v>0.0</v>
      </c>
      <c r="AB28" s="27">
        <v>0.0</v>
      </c>
      <c r="AC28" s="27">
        <v>0.0</v>
      </c>
      <c r="AD28" s="27">
        <v>0.0</v>
      </c>
      <c r="AE28" s="27">
        <v>0.0</v>
      </c>
      <c r="AF28" s="27">
        <v>0.0</v>
      </c>
    </row>
    <row r="29" ht="15.75" customHeight="1">
      <c r="B29" s="33" t="s">
        <v>159</v>
      </c>
      <c r="C29" s="35">
        <f t="shared" ref="C29:AF29" si="2">SUM(C16:C28)</f>
        <v>58300</v>
      </c>
      <c r="D29" s="35">
        <f t="shared" si="2"/>
        <v>59300</v>
      </c>
      <c r="E29" s="35">
        <f t="shared" si="2"/>
        <v>68371.7</v>
      </c>
      <c r="F29" s="35">
        <f t="shared" si="2"/>
        <v>77021.173</v>
      </c>
      <c r="G29" s="35">
        <f t="shared" si="2"/>
        <v>78255.04991</v>
      </c>
      <c r="H29" s="35">
        <f t="shared" si="2"/>
        <v>84080.57284</v>
      </c>
      <c r="I29" s="35">
        <f t="shared" si="2"/>
        <v>85505.65357</v>
      </c>
      <c r="J29" s="35">
        <f t="shared" si="2"/>
        <v>87038.93776</v>
      </c>
      <c r="K29" s="35">
        <f t="shared" si="2"/>
        <v>94189.87537</v>
      </c>
      <c r="L29" s="35">
        <f t="shared" si="2"/>
        <v>95968.798</v>
      </c>
      <c r="M29" s="35">
        <f t="shared" si="2"/>
        <v>106887.0038</v>
      </c>
      <c r="N29" s="35">
        <f t="shared" si="2"/>
        <v>108956.8506</v>
      </c>
      <c r="O29" s="35">
        <f t="shared" si="2"/>
        <v>111191.8585</v>
      </c>
      <c r="P29" s="35">
        <f t="shared" si="2"/>
        <v>113606.8217</v>
      </c>
      <c r="Q29" s="35">
        <f t="shared" si="2"/>
        <v>116217.9325</v>
      </c>
      <c r="R29" s="35">
        <f t="shared" si="2"/>
        <v>119042.9164</v>
      </c>
      <c r="S29" s="35">
        <f t="shared" si="2"/>
        <v>122101.181</v>
      </c>
      <c r="T29" s="35">
        <f t="shared" si="2"/>
        <v>125413.9795</v>
      </c>
      <c r="U29" s="35">
        <f t="shared" si="2"/>
        <v>129004.5902</v>
      </c>
      <c r="V29" s="35">
        <f t="shared" si="2"/>
        <v>132898.5135</v>
      </c>
      <c r="W29" s="35">
        <f t="shared" si="2"/>
        <v>137123.6888</v>
      </c>
      <c r="X29" s="35">
        <f t="shared" si="2"/>
        <v>141710.732</v>
      </c>
      <c r="Y29" s="35">
        <f t="shared" si="2"/>
        <v>146693.1974</v>
      </c>
      <c r="Z29" s="35">
        <f t="shared" si="2"/>
        <v>152107.8645</v>
      </c>
      <c r="AA29" s="35">
        <f t="shared" si="2"/>
        <v>157995.0538</v>
      </c>
      <c r="AB29" s="35">
        <f t="shared" si="2"/>
        <v>164398.9731</v>
      </c>
      <c r="AC29" s="35">
        <f t="shared" si="2"/>
        <v>171368.0987</v>
      </c>
      <c r="AD29" s="35">
        <f t="shared" si="2"/>
        <v>178955.594</v>
      </c>
      <c r="AE29" s="35">
        <f t="shared" si="2"/>
        <v>187219.7691</v>
      </c>
      <c r="AF29" s="35">
        <f t="shared" si="2"/>
        <v>196224.5867</v>
      </c>
    </row>
    <row r="30" ht="15.75" customHeight="1"/>
    <row r="31" ht="18.0" customHeight="1">
      <c r="B31" s="17" t="s">
        <v>160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ht="15.75" customHeight="1">
      <c r="B32" s="33" t="s">
        <v>161</v>
      </c>
      <c r="C32" s="35">
        <f t="shared" ref="C32:AF32" si="3">C13-C29</f>
        <v>-37800</v>
      </c>
      <c r="D32" s="35">
        <f t="shared" si="3"/>
        <v>-46800</v>
      </c>
      <c r="E32" s="35">
        <f t="shared" si="3"/>
        <v>-50871.7</v>
      </c>
      <c r="F32" s="35">
        <f t="shared" si="3"/>
        <v>-51604.173</v>
      </c>
      <c r="G32" s="35">
        <f t="shared" si="3"/>
        <v>-54088.04991</v>
      </c>
      <c r="H32" s="35">
        <f t="shared" si="3"/>
        <v>-55747.57284</v>
      </c>
      <c r="I32" s="35">
        <f t="shared" si="3"/>
        <v>-46672.65357</v>
      </c>
      <c r="J32" s="35">
        <f t="shared" si="3"/>
        <v>-53705.93776</v>
      </c>
      <c r="K32" s="35">
        <f t="shared" si="3"/>
        <v>-57106.87537</v>
      </c>
      <c r="L32" s="35">
        <f t="shared" si="3"/>
        <v>-50968.798</v>
      </c>
      <c r="M32" s="35">
        <f t="shared" si="3"/>
        <v>-61887.00379</v>
      </c>
      <c r="N32" s="35">
        <f t="shared" si="3"/>
        <v>-50956.85063</v>
      </c>
      <c r="O32" s="35">
        <f t="shared" si="3"/>
        <v>-61191.85847</v>
      </c>
      <c r="P32" s="35">
        <f t="shared" si="3"/>
        <v>-61939.82168</v>
      </c>
      <c r="Q32" s="35">
        <f t="shared" si="3"/>
        <v>-57050.93248</v>
      </c>
      <c r="R32" s="35">
        <f t="shared" si="3"/>
        <v>-62375.91638</v>
      </c>
      <c r="S32" s="35">
        <f t="shared" si="3"/>
        <v>-54101.18101</v>
      </c>
      <c r="T32" s="35">
        <f t="shared" si="3"/>
        <v>-62080.97954</v>
      </c>
      <c r="U32" s="35">
        <f t="shared" si="3"/>
        <v>-63171.59023</v>
      </c>
      <c r="V32" s="35">
        <f t="shared" si="3"/>
        <v>-64565.51354</v>
      </c>
      <c r="W32" s="35">
        <f t="shared" si="3"/>
        <v>-66290.68877</v>
      </c>
      <c r="X32" s="35">
        <f t="shared" si="3"/>
        <v>-68377.73199</v>
      </c>
      <c r="Y32" s="35">
        <f t="shared" si="3"/>
        <v>-70860.1974</v>
      </c>
      <c r="Z32" s="35">
        <f t="shared" si="3"/>
        <v>-73774.86455</v>
      </c>
      <c r="AA32" s="35">
        <f t="shared" si="3"/>
        <v>-77162.05381</v>
      </c>
      <c r="AB32" s="35">
        <f t="shared" si="3"/>
        <v>-81065.97309</v>
      </c>
      <c r="AC32" s="35">
        <f t="shared" si="3"/>
        <v>-85535.0987</v>
      </c>
      <c r="AD32" s="35">
        <f t="shared" si="3"/>
        <v>-90622.59395</v>
      </c>
      <c r="AE32" s="35">
        <f t="shared" si="3"/>
        <v>-96386.76909</v>
      </c>
      <c r="AF32" s="35">
        <f t="shared" si="3"/>
        <v>-102891.5867</v>
      </c>
    </row>
    <row r="33" ht="15.75" customHeight="1">
      <c r="B33" s="19" t="s">
        <v>162</v>
      </c>
      <c r="C33" s="36">
        <f>Inputs!$C$13</f>
        <v>1620000</v>
      </c>
      <c r="D33" s="36">
        <f t="shared" ref="D33:AF33" si="4">C34</f>
        <v>1582200</v>
      </c>
      <c r="E33" s="36">
        <f t="shared" si="4"/>
        <v>1535400</v>
      </c>
      <c r="F33" s="36">
        <f t="shared" si="4"/>
        <v>1484528.3</v>
      </c>
      <c r="G33" s="36">
        <f t="shared" si="4"/>
        <v>1432924.127</v>
      </c>
      <c r="H33" s="36">
        <f t="shared" si="4"/>
        <v>1378836.077</v>
      </c>
      <c r="I33" s="36">
        <f t="shared" si="4"/>
        <v>1323088.504</v>
      </c>
      <c r="J33" s="36">
        <f t="shared" si="4"/>
        <v>1276415.851</v>
      </c>
      <c r="K33" s="36">
        <f t="shared" si="4"/>
        <v>1222709.913</v>
      </c>
      <c r="L33" s="36">
        <f t="shared" si="4"/>
        <v>1165603.038</v>
      </c>
      <c r="M33" s="36">
        <f t="shared" si="4"/>
        <v>1114634.24</v>
      </c>
      <c r="N33" s="36">
        <f t="shared" si="4"/>
        <v>1052747.236</v>
      </c>
      <c r="O33" s="36">
        <f t="shared" si="4"/>
        <v>1001790.385</v>
      </c>
      <c r="P33" s="36">
        <f t="shared" si="4"/>
        <v>940598.5267</v>
      </c>
      <c r="Q33" s="36">
        <f t="shared" si="4"/>
        <v>878658.705</v>
      </c>
      <c r="R33" s="36">
        <f t="shared" si="4"/>
        <v>821607.7725</v>
      </c>
      <c r="S33" s="36">
        <f t="shared" si="4"/>
        <v>759231.8561</v>
      </c>
      <c r="T33" s="36">
        <f t="shared" si="4"/>
        <v>705130.6751</v>
      </c>
      <c r="U33" s="36">
        <f t="shared" si="4"/>
        <v>643049.6956</v>
      </c>
      <c r="V33" s="36">
        <f t="shared" si="4"/>
        <v>579878.1053</v>
      </c>
      <c r="W33" s="36">
        <f t="shared" si="4"/>
        <v>515312.5918</v>
      </c>
      <c r="X33" s="36">
        <f t="shared" si="4"/>
        <v>449021.903</v>
      </c>
      <c r="Y33" s="36">
        <f t="shared" si="4"/>
        <v>380644.171</v>
      </c>
      <c r="Z33" s="36">
        <f t="shared" si="4"/>
        <v>309783.9736</v>
      </c>
      <c r="AA33" s="36">
        <f t="shared" si="4"/>
        <v>236009.1091</v>
      </c>
      <c r="AB33" s="36">
        <f t="shared" si="4"/>
        <v>158847.0553</v>
      </c>
      <c r="AC33" s="36">
        <f t="shared" si="4"/>
        <v>77781.0822</v>
      </c>
      <c r="AD33" s="36">
        <f t="shared" si="4"/>
        <v>-7754.016502</v>
      </c>
      <c r="AE33" s="36">
        <f t="shared" si="4"/>
        <v>-98376.61045</v>
      </c>
      <c r="AF33" s="36">
        <f t="shared" si="4"/>
        <v>-194763.3795</v>
      </c>
    </row>
    <row r="34" ht="15.75" customHeight="1">
      <c r="B34" s="33" t="s">
        <v>163</v>
      </c>
      <c r="C34" s="35">
        <f t="shared" ref="C34:AF34" si="5">C33+C32</f>
        <v>1582200</v>
      </c>
      <c r="D34" s="35">
        <f t="shared" si="5"/>
        <v>1535400</v>
      </c>
      <c r="E34" s="35">
        <f t="shared" si="5"/>
        <v>1484528.3</v>
      </c>
      <c r="F34" s="35">
        <f t="shared" si="5"/>
        <v>1432924.127</v>
      </c>
      <c r="G34" s="35">
        <f t="shared" si="5"/>
        <v>1378836.077</v>
      </c>
      <c r="H34" s="35">
        <f t="shared" si="5"/>
        <v>1323088.504</v>
      </c>
      <c r="I34" s="35">
        <f t="shared" si="5"/>
        <v>1276415.851</v>
      </c>
      <c r="J34" s="35">
        <f t="shared" si="5"/>
        <v>1222709.913</v>
      </c>
      <c r="K34" s="35">
        <f t="shared" si="5"/>
        <v>1165603.038</v>
      </c>
      <c r="L34" s="35">
        <f t="shared" si="5"/>
        <v>1114634.24</v>
      </c>
      <c r="M34" s="35">
        <f t="shared" si="5"/>
        <v>1052747.236</v>
      </c>
      <c r="N34" s="35">
        <f t="shared" si="5"/>
        <v>1001790.385</v>
      </c>
      <c r="O34" s="35">
        <f t="shared" si="5"/>
        <v>940598.5267</v>
      </c>
      <c r="P34" s="35">
        <f t="shared" si="5"/>
        <v>878658.705</v>
      </c>
      <c r="Q34" s="35">
        <f t="shared" si="5"/>
        <v>821607.7725</v>
      </c>
      <c r="R34" s="35">
        <f t="shared" si="5"/>
        <v>759231.8561</v>
      </c>
      <c r="S34" s="35">
        <f t="shared" si="5"/>
        <v>705130.6751</v>
      </c>
      <c r="T34" s="35">
        <f t="shared" si="5"/>
        <v>643049.6956</v>
      </c>
      <c r="U34" s="35">
        <f t="shared" si="5"/>
        <v>579878.1053</v>
      </c>
      <c r="V34" s="35">
        <f t="shared" si="5"/>
        <v>515312.5918</v>
      </c>
      <c r="W34" s="35">
        <f t="shared" si="5"/>
        <v>449021.903</v>
      </c>
      <c r="X34" s="35">
        <f t="shared" si="5"/>
        <v>380644.171</v>
      </c>
      <c r="Y34" s="35">
        <f t="shared" si="5"/>
        <v>309783.9736</v>
      </c>
      <c r="Z34" s="35">
        <f t="shared" si="5"/>
        <v>236009.1091</v>
      </c>
      <c r="AA34" s="35">
        <f t="shared" si="5"/>
        <v>158847.0553</v>
      </c>
      <c r="AB34" s="35">
        <f t="shared" si="5"/>
        <v>77781.0822</v>
      </c>
      <c r="AC34" s="35">
        <f t="shared" si="5"/>
        <v>-7754.016502</v>
      </c>
      <c r="AD34" s="35">
        <f t="shared" si="5"/>
        <v>-98376.61045</v>
      </c>
      <c r="AE34" s="35">
        <f t="shared" si="5"/>
        <v>-194763.3795</v>
      </c>
      <c r="AF34" s="35">
        <f t="shared" si="5"/>
        <v>-297654.9663</v>
      </c>
    </row>
    <row r="35" ht="15.75" customHeight="1">
      <c r="B35" s="19" t="s">
        <v>164</v>
      </c>
      <c r="C35" s="34">
        <f t="shared" ref="C35:AF35" si="6">IFERROR(MAX(0,MATCH(1,$C$38:$AF$38,0)-C$7),"30+")</f>
        <v>26</v>
      </c>
      <c r="D35" s="34">
        <f t="shared" si="6"/>
        <v>25</v>
      </c>
      <c r="E35" s="34">
        <f t="shared" si="6"/>
        <v>24</v>
      </c>
      <c r="F35" s="34">
        <f t="shared" si="6"/>
        <v>23</v>
      </c>
      <c r="G35" s="34">
        <f t="shared" si="6"/>
        <v>22</v>
      </c>
      <c r="H35" s="34">
        <f t="shared" si="6"/>
        <v>21</v>
      </c>
      <c r="I35" s="34">
        <f t="shared" si="6"/>
        <v>20</v>
      </c>
      <c r="J35" s="34">
        <f t="shared" si="6"/>
        <v>19</v>
      </c>
      <c r="K35" s="34">
        <f t="shared" si="6"/>
        <v>18</v>
      </c>
      <c r="L35" s="34">
        <f t="shared" si="6"/>
        <v>17</v>
      </c>
      <c r="M35" s="34">
        <f t="shared" si="6"/>
        <v>16</v>
      </c>
      <c r="N35" s="34">
        <f t="shared" si="6"/>
        <v>15</v>
      </c>
      <c r="O35" s="34">
        <f t="shared" si="6"/>
        <v>14</v>
      </c>
      <c r="P35" s="34">
        <f t="shared" si="6"/>
        <v>13</v>
      </c>
      <c r="Q35" s="34">
        <f t="shared" si="6"/>
        <v>12</v>
      </c>
      <c r="R35" s="34">
        <f t="shared" si="6"/>
        <v>11</v>
      </c>
      <c r="S35" s="34">
        <f t="shared" si="6"/>
        <v>10</v>
      </c>
      <c r="T35" s="34">
        <f t="shared" si="6"/>
        <v>9</v>
      </c>
      <c r="U35" s="34">
        <f t="shared" si="6"/>
        <v>8</v>
      </c>
      <c r="V35" s="34">
        <f t="shared" si="6"/>
        <v>7</v>
      </c>
      <c r="W35" s="34">
        <f t="shared" si="6"/>
        <v>6</v>
      </c>
      <c r="X35" s="34">
        <f t="shared" si="6"/>
        <v>5</v>
      </c>
      <c r="Y35" s="34">
        <f t="shared" si="6"/>
        <v>4</v>
      </c>
      <c r="Z35" s="34">
        <f t="shared" si="6"/>
        <v>3</v>
      </c>
      <c r="AA35" s="34">
        <f t="shared" si="6"/>
        <v>2</v>
      </c>
      <c r="AB35" s="34">
        <f t="shared" si="6"/>
        <v>1</v>
      </c>
      <c r="AC35" s="34">
        <f t="shared" si="6"/>
        <v>0</v>
      </c>
      <c r="AD35" s="34">
        <f t="shared" si="6"/>
        <v>0</v>
      </c>
      <c r="AE35" s="34">
        <f t="shared" si="6"/>
        <v>0</v>
      </c>
      <c r="AF35" s="34">
        <f t="shared" si="6"/>
        <v>0</v>
      </c>
    </row>
    <row r="36" ht="15.75" customHeight="1">
      <c r="B36" s="19" t="s">
        <v>165</v>
      </c>
      <c r="C36" s="34">
        <f>Inputs!$C$32+SUMPRODUCT((Hires!$D$10:$D$21&gt;0)*(Hires!$D$10:$D$21&lt;=C$8)*(Hires!$F$10:$F$21="Yes"))</f>
        <v>5</v>
      </c>
      <c r="D36" s="34">
        <f>Inputs!$C$32+SUMPRODUCT((Hires!$D$10:$D$21&gt;0)*(Hires!$D$10:$D$21&lt;=D$8)*(Hires!$F$10:$F$21="Yes"))</f>
        <v>5</v>
      </c>
      <c r="E36" s="34">
        <f>Inputs!$C$32+SUMPRODUCT((Hires!$D$10:$D$21&gt;0)*(Hires!$D$10:$D$21&lt;=E$8)*(Hires!$F$10:$F$21="Yes"))</f>
        <v>6</v>
      </c>
      <c r="F36" s="34">
        <f>Inputs!$C$32+SUMPRODUCT((Hires!$D$10:$D$21&gt;0)*(Hires!$D$10:$D$21&lt;=F$8)*(Hires!$F$10:$F$21="Yes"))</f>
        <v>7</v>
      </c>
      <c r="G36" s="34">
        <f>Inputs!$C$32+SUMPRODUCT((Hires!$D$10:$D$21&gt;0)*(Hires!$D$10:$D$21&lt;=G$8)*(Hires!$F$10:$F$21="Yes"))</f>
        <v>7</v>
      </c>
      <c r="H36" s="34">
        <f>Inputs!$C$32+SUMPRODUCT((Hires!$D$10:$D$21&gt;0)*(Hires!$D$10:$D$21&lt;=H$8)*(Hires!$F$10:$F$21="Yes"))</f>
        <v>8</v>
      </c>
      <c r="I36" s="34">
        <f>Inputs!$C$32+SUMPRODUCT((Hires!$D$10:$D$21&gt;0)*(Hires!$D$10:$D$21&lt;=I$8)*(Hires!$F$10:$F$21="Yes"))</f>
        <v>8</v>
      </c>
      <c r="J36" s="34">
        <f>Inputs!$C$32+SUMPRODUCT((Hires!$D$10:$D$21&gt;0)*(Hires!$D$10:$D$21&lt;=J$8)*(Hires!$F$10:$F$21="Yes"))</f>
        <v>8</v>
      </c>
      <c r="K36" s="34">
        <f>Inputs!$C$32+SUMPRODUCT((Hires!$D$10:$D$21&gt;0)*(Hires!$D$10:$D$21&lt;=K$8)*(Hires!$F$10:$F$21="Yes"))</f>
        <v>9</v>
      </c>
      <c r="L36" s="34">
        <f>Inputs!$C$32+SUMPRODUCT((Hires!$D$10:$D$21&gt;0)*(Hires!$D$10:$D$21&lt;=L$8)*(Hires!$F$10:$F$21="Yes"))</f>
        <v>9</v>
      </c>
      <c r="M36" s="34">
        <f>Inputs!$C$32+SUMPRODUCT((Hires!$D$10:$D$21&gt;0)*(Hires!$D$10:$D$21&lt;=M$8)*(Hires!$F$10:$F$21="Yes"))</f>
        <v>10</v>
      </c>
      <c r="N36" s="34">
        <f>Inputs!$C$32+SUMPRODUCT((Hires!$D$10:$D$21&gt;0)*(Hires!$D$10:$D$21&lt;=N$8)*(Hires!$F$10:$F$21="Yes"))</f>
        <v>10</v>
      </c>
      <c r="O36" s="34">
        <f>Inputs!$C$32+SUMPRODUCT((Hires!$D$10:$D$21&gt;0)*(Hires!$D$10:$D$21&lt;=O$8)*(Hires!$F$10:$F$21="Yes"))</f>
        <v>10</v>
      </c>
      <c r="P36" s="34">
        <f>Inputs!$C$32+SUMPRODUCT((Hires!$D$10:$D$21&gt;0)*(Hires!$D$10:$D$21&lt;=P$8)*(Hires!$F$10:$F$21="Yes"))</f>
        <v>10</v>
      </c>
      <c r="Q36" s="34">
        <f>Inputs!$C$32+SUMPRODUCT((Hires!$D$10:$D$21&gt;0)*(Hires!$D$10:$D$21&lt;=Q$8)*(Hires!$F$10:$F$21="Yes"))</f>
        <v>10</v>
      </c>
      <c r="R36" s="34">
        <f>Inputs!$C$32+SUMPRODUCT((Hires!$D$10:$D$21&gt;0)*(Hires!$D$10:$D$21&lt;=R$8)*(Hires!$F$10:$F$21="Yes"))</f>
        <v>10</v>
      </c>
      <c r="S36" s="34">
        <f>Inputs!$C$32+SUMPRODUCT((Hires!$D$10:$D$21&gt;0)*(Hires!$D$10:$D$21&lt;=S$8)*(Hires!$F$10:$F$21="Yes"))</f>
        <v>10</v>
      </c>
      <c r="T36" s="34">
        <f>Inputs!$C$32+SUMPRODUCT((Hires!$D$10:$D$21&gt;0)*(Hires!$D$10:$D$21&lt;=T$8)*(Hires!$F$10:$F$21="Yes"))</f>
        <v>10</v>
      </c>
      <c r="U36" s="34">
        <f>Inputs!$C$32+SUMPRODUCT((Hires!$D$10:$D$21&gt;0)*(Hires!$D$10:$D$21&lt;=U$8)*(Hires!$F$10:$F$21="Yes"))</f>
        <v>10</v>
      </c>
      <c r="V36" s="34">
        <f>Inputs!$C$32+SUMPRODUCT((Hires!$D$10:$D$21&gt;0)*(Hires!$D$10:$D$21&lt;=V$8)*(Hires!$F$10:$F$21="Yes"))</f>
        <v>10</v>
      </c>
      <c r="W36" s="34">
        <f>Inputs!$C$32+SUMPRODUCT((Hires!$D$10:$D$21&gt;0)*(Hires!$D$10:$D$21&lt;=W$8)*(Hires!$F$10:$F$21="Yes"))</f>
        <v>10</v>
      </c>
      <c r="X36" s="34">
        <f>Inputs!$C$32+SUMPRODUCT((Hires!$D$10:$D$21&gt;0)*(Hires!$D$10:$D$21&lt;=X$8)*(Hires!$F$10:$F$21="Yes"))</f>
        <v>10</v>
      </c>
      <c r="Y36" s="34">
        <f>Inputs!$C$32+SUMPRODUCT((Hires!$D$10:$D$21&gt;0)*(Hires!$D$10:$D$21&lt;=Y$8)*(Hires!$F$10:$F$21="Yes"))</f>
        <v>10</v>
      </c>
      <c r="Z36" s="34">
        <f>Inputs!$C$32+SUMPRODUCT((Hires!$D$10:$D$21&gt;0)*(Hires!$D$10:$D$21&lt;=Z$8)*(Hires!$F$10:$F$21="Yes"))</f>
        <v>10</v>
      </c>
      <c r="AA36" s="34">
        <f>Inputs!$C$32+SUMPRODUCT((Hires!$D$10:$D$21&gt;0)*(Hires!$D$10:$D$21&lt;=AA$8)*(Hires!$F$10:$F$21="Yes"))</f>
        <v>10</v>
      </c>
      <c r="AB36" s="34">
        <f>Inputs!$C$32+SUMPRODUCT((Hires!$D$10:$D$21&gt;0)*(Hires!$D$10:$D$21&lt;=AB$8)*(Hires!$F$10:$F$21="Yes"))</f>
        <v>10</v>
      </c>
      <c r="AC36" s="34">
        <f>Inputs!$C$32+SUMPRODUCT((Hires!$D$10:$D$21&gt;0)*(Hires!$D$10:$D$21&lt;=AC$8)*(Hires!$F$10:$F$21="Yes"))</f>
        <v>10</v>
      </c>
      <c r="AD36" s="34">
        <f>Inputs!$C$32+SUMPRODUCT((Hires!$D$10:$D$21&gt;0)*(Hires!$D$10:$D$21&lt;=AD$8)*(Hires!$F$10:$F$21="Yes"))</f>
        <v>10</v>
      </c>
      <c r="AE36" s="34">
        <f>Inputs!$C$32+SUMPRODUCT((Hires!$D$10:$D$21&gt;0)*(Hires!$D$10:$D$21&lt;=AE$8)*(Hires!$F$10:$F$21="Yes"))</f>
        <v>10</v>
      </c>
      <c r="AF36" s="34">
        <f>Inputs!$C$32+SUMPRODUCT((Hires!$D$10:$D$21&gt;0)*(Hires!$D$10:$D$21&lt;=AF$8)*(Hires!$F$10:$F$21="Yes"))</f>
        <v>10</v>
      </c>
    </row>
    <row r="37" ht="15.75" customHeight="1">
      <c r="B37" s="39" t="s">
        <v>166</v>
      </c>
      <c r="C37" s="44">
        <f>IF(C34&lt;Inputs!$C$14,1,0)</f>
        <v>0</v>
      </c>
      <c r="D37" s="44">
        <f>IF(D34&lt;Inputs!$C$14,1,0)</f>
        <v>0</v>
      </c>
      <c r="E37" s="44">
        <f>IF(E34&lt;Inputs!$C$14,1,0)</f>
        <v>0</v>
      </c>
      <c r="F37" s="44">
        <f>IF(F34&lt;Inputs!$C$14,1,0)</f>
        <v>0</v>
      </c>
      <c r="G37" s="44">
        <f>IF(G34&lt;Inputs!$C$14,1,0)</f>
        <v>0</v>
      </c>
      <c r="H37" s="44">
        <f>IF(H34&lt;Inputs!$C$14,1,0)</f>
        <v>0</v>
      </c>
      <c r="I37" s="44">
        <f>IF(I34&lt;Inputs!$C$14,1,0)</f>
        <v>0</v>
      </c>
      <c r="J37" s="44">
        <f>IF(J34&lt;Inputs!$C$14,1,0)</f>
        <v>0</v>
      </c>
      <c r="K37" s="44">
        <f>IF(K34&lt;Inputs!$C$14,1,0)</f>
        <v>0</v>
      </c>
      <c r="L37" s="44">
        <f>IF(L34&lt;Inputs!$C$14,1,0)</f>
        <v>0</v>
      </c>
      <c r="M37" s="44">
        <f>IF(M34&lt;Inputs!$C$14,1,0)</f>
        <v>0</v>
      </c>
      <c r="N37" s="44">
        <f>IF(N34&lt;Inputs!$C$14,1,0)</f>
        <v>0</v>
      </c>
      <c r="O37" s="44">
        <f>IF(O34&lt;Inputs!$C$14,1,0)</f>
        <v>0</v>
      </c>
      <c r="P37" s="44">
        <f>IF(P34&lt;Inputs!$C$14,1,0)</f>
        <v>0</v>
      </c>
      <c r="Q37" s="44">
        <f>IF(Q34&lt;Inputs!$C$14,1,0)</f>
        <v>0</v>
      </c>
      <c r="R37" s="44">
        <f>IF(R34&lt;Inputs!$C$14,1,0)</f>
        <v>0</v>
      </c>
      <c r="S37" s="44">
        <f>IF(S34&lt;Inputs!$C$14,1,0)</f>
        <v>0</v>
      </c>
      <c r="T37" s="44">
        <f>IF(T34&lt;Inputs!$C$14,1,0)</f>
        <v>0</v>
      </c>
      <c r="U37" s="44">
        <f>IF(U34&lt;Inputs!$C$14,1,0)</f>
        <v>0</v>
      </c>
      <c r="V37" s="44">
        <f>IF(V34&lt;Inputs!$C$14,1,0)</f>
        <v>0</v>
      </c>
      <c r="W37" s="44">
        <f>IF(W34&lt;Inputs!$C$14,1,0)</f>
        <v>0</v>
      </c>
      <c r="X37" s="44">
        <f>IF(X34&lt;Inputs!$C$14,1,0)</f>
        <v>0</v>
      </c>
      <c r="Y37" s="44">
        <f>IF(Y34&lt;Inputs!$C$14,1,0)</f>
        <v>0</v>
      </c>
      <c r="Z37" s="44">
        <f>IF(Z34&lt;Inputs!$C$14,1,0)</f>
        <v>0</v>
      </c>
      <c r="AA37" s="44">
        <f>IF(AA34&lt;Inputs!$C$14,1,0)</f>
        <v>0</v>
      </c>
      <c r="AB37" s="44">
        <f>IF(AB34&lt;Inputs!$C$14,1,0)</f>
        <v>1</v>
      </c>
      <c r="AC37" s="44">
        <f>IF(AC34&lt;Inputs!$C$14,1,0)</f>
        <v>1</v>
      </c>
      <c r="AD37" s="44">
        <f>IF(AD34&lt;Inputs!$C$14,1,0)</f>
        <v>1</v>
      </c>
      <c r="AE37" s="44">
        <f>IF(AE34&lt;Inputs!$C$14,1,0)</f>
        <v>1</v>
      </c>
      <c r="AF37" s="44">
        <f>IF(AF34&lt;Inputs!$C$14,1,0)</f>
        <v>1</v>
      </c>
    </row>
    <row r="38" ht="15.75" customHeight="1">
      <c r="B38" s="39" t="s">
        <v>167</v>
      </c>
      <c r="C38" s="44">
        <f t="shared" ref="C38:AF38" si="7">IF(C34&lt;0,1,0)</f>
        <v>0</v>
      </c>
      <c r="D38" s="44">
        <f t="shared" si="7"/>
        <v>0</v>
      </c>
      <c r="E38" s="44">
        <f t="shared" si="7"/>
        <v>0</v>
      </c>
      <c r="F38" s="44">
        <f t="shared" si="7"/>
        <v>0</v>
      </c>
      <c r="G38" s="44">
        <f t="shared" si="7"/>
        <v>0</v>
      </c>
      <c r="H38" s="44">
        <f t="shared" si="7"/>
        <v>0</v>
      </c>
      <c r="I38" s="44">
        <f t="shared" si="7"/>
        <v>0</v>
      </c>
      <c r="J38" s="44">
        <f t="shared" si="7"/>
        <v>0</v>
      </c>
      <c r="K38" s="44">
        <f t="shared" si="7"/>
        <v>0</v>
      </c>
      <c r="L38" s="44">
        <f t="shared" si="7"/>
        <v>0</v>
      </c>
      <c r="M38" s="44">
        <f t="shared" si="7"/>
        <v>0</v>
      </c>
      <c r="N38" s="44">
        <f t="shared" si="7"/>
        <v>0</v>
      </c>
      <c r="O38" s="44">
        <f t="shared" si="7"/>
        <v>0</v>
      </c>
      <c r="P38" s="44">
        <f t="shared" si="7"/>
        <v>0</v>
      </c>
      <c r="Q38" s="44">
        <f t="shared" si="7"/>
        <v>0</v>
      </c>
      <c r="R38" s="44">
        <f t="shared" si="7"/>
        <v>0</v>
      </c>
      <c r="S38" s="44">
        <f t="shared" si="7"/>
        <v>0</v>
      </c>
      <c r="T38" s="44">
        <f t="shared" si="7"/>
        <v>0</v>
      </c>
      <c r="U38" s="44">
        <f t="shared" si="7"/>
        <v>0</v>
      </c>
      <c r="V38" s="44">
        <f t="shared" si="7"/>
        <v>0</v>
      </c>
      <c r="W38" s="44">
        <f t="shared" si="7"/>
        <v>0</v>
      </c>
      <c r="X38" s="44">
        <f t="shared" si="7"/>
        <v>0</v>
      </c>
      <c r="Y38" s="44">
        <f t="shared" si="7"/>
        <v>0</v>
      </c>
      <c r="Z38" s="44">
        <f t="shared" si="7"/>
        <v>0</v>
      </c>
      <c r="AA38" s="44">
        <f t="shared" si="7"/>
        <v>0</v>
      </c>
      <c r="AB38" s="44">
        <f t="shared" si="7"/>
        <v>0</v>
      </c>
      <c r="AC38" s="44">
        <f t="shared" si="7"/>
        <v>1</v>
      </c>
      <c r="AD38" s="44">
        <f t="shared" si="7"/>
        <v>1</v>
      </c>
      <c r="AE38" s="44">
        <f t="shared" si="7"/>
        <v>1</v>
      </c>
      <c r="AF38" s="44">
        <f t="shared" si="7"/>
        <v>1</v>
      </c>
    </row>
    <row r="39" ht="15.75" customHeight="1"/>
    <row r="40" ht="15.0" customHeight="1">
      <c r="B40" s="28" t="s">
        <v>168</v>
      </c>
    </row>
    <row r="41" ht="15.75" customHeight="1"/>
    <row r="42" ht="15.75" customHeight="1">
      <c r="B42" s="22" t="s">
        <v>54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3:J3"/>
    <mergeCell ref="B40:L40"/>
  </mergeCells>
  <conditionalFormatting sqref="C34:AF34">
    <cfRule type="cellIs" dxfId="0" priority="1" operator="lessThan">
      <formula>0</formula>
    </cfRule>
  </conditionalFormatting>
  <printOptions/>
  <pageMargins bottom="0.7" footer="0.0" header="0.0" left="0.6" right="0.6" top="0.7"/>
  <pageSetup paperSize="9" orientation="landscape"/>
  <headerFooter>
    <oddFooter>&amp;L A Sure Valley Ventures founder resource · svv.ai · v1 · 2026&amp;R Page &amp;P of </oddFooter>
  </headerFooter>
  <drawing r:id="rId1"/>
</worksheet>
</file>